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tabRatio="602" activeTab="0"/>
  </bookViews>
  <sheets>
    <sheet name="農林漁業～運輸通信業" sheetId="1" r:id="rId1"/>
    <sheet name="運輸通信業～サービス業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<sst xmlns="http://schemas.openxmlformats.org/spreadsheetml/2006/main" count="701" uniqueCount="149">
  <si>
    <t xml:space="preserve">別 事 業 所 数 お よ び 従 業 者 数 </t>
  </si>
  <si>
    <t>（民営）</t>
  </si>
  <si>
    <t>単位 ：所、人</t>
  </si>
  <si>
    <t>１人</t>
  </si>
  <si>
    <t>事業所数</t>
  </si>
  <si>
    <t>従業者数</t>
  </si>
  <si>
    <t>-</t>
  </si>
  <si>
    <t>農業</t>
  </si>
  <si>
    <t>林業</t>
  </si>
  <si>
    <t>漁業</t>
  </si>
  <si>
    <t>水産養殖業</t>
  </si>
  <si>
    <t>金属鉱業</t>
  </si>
  <si>
    <t>石炭・亜炭鉱業</t>
  </si>
  <si>
    <t>原油・天然ガス鉱業</t>
  </si>
  <si>
    <t>非金属鉱業</t>
  </si>
  <si>
    <t>総合工事業</t>
  </si>
  <si>
    <t>設備工事業</t>
  </si>
  <si>
    <t>食料品製造業</t>
  </si>
  <si>
    <t>飲料・たばこ・飼料製造業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</si>
  <si>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</si>
  <si>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</si>
  <si>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</si>
  <si>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</si>
  <si>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</si>
  <si>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</si>
  <si>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</si>
  <si>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</si>
  <si>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</si>
  <si>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</si>
  <si>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</si>
  <si>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</si>
  <si>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</si>
  <si>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</si>
  <si>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</si>
  <si>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</si>
  <si>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</si>
  <si>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</si>
  <si>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電気業</t>
  </si>
  <si>
    <t>ガス業</t>
  </si>
  <si>
    <t>熱供給業</t>
  </si>
  <si>
    <t>水道業</t>
  </si>
  <si>
    <t>鉄道業</t>
  </si>
  <si>
    <t>道路旅客運送業</t>
  </si>
  <si>
    <t>道路貨物運送業</t>
  </si>
  <si>
    <t>水運業</t>
  </si>
  <si>
    <t>航空運輸業</t>
  </si>
  <si>
    <t>1)　衣服、その他の繊維製品を除く。　2)別掲を除く。</t>
  </si>
  <si>
    <t>倉庫業</t>
  </si>
  <si>
    <t>運輸に附帯するサービス業</t>
  </si>
  <si>
    <t>郵便業</t>
  </si>
  <si>
    <t>電気通信業</t>
  </si>
  <si>
    <t>卸売業</t>
  </si>
  <si>
    <t>小売業</t>
  </si>
  <si>
    <t>織物・衣服･身の回り品小売業</t>
  </si>
  <si>
    <t>機械器具小売業</t>
  </si>
  <si>
    <t>飲食店</t>
  </si>
  <si>
    <t>一    般    飲     食     店</t>
  </si>
  <si>
    <t>そ   の   他  の  飲  食  店</t>
  </si>
  <si>
    <t>銀行・信託業</t>
  </si>
  <si>
    <t>補助的金融業、金融附帯業</t>
  </si>
  <si>
    <t>証券業、商品先物取引業</t>
  </si>
  <si>
    <t>不動産取引業</t>
  </si>
  <si>
    <t>洗濯・理容・浴場業</t>
  </si>
  <si>
    <t>駐車場業</t>
  </si>
  <si>
    <t>その他の生活関連サービス業</t>
  </si>
  <si>
    <t>旅館、その他の宿泊所</t>
  </si>
  <si>
    <t>自動車整備業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</si>
  <si>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</si>
  <si>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</si>
  <si>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</si>
  <si>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</si>
  <si>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</si>
  <si>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</si>
  <si>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（他に分類されないもの）</t>
  </si>
  <si>
    <t>協同組合(他に分類されないもの)</t>
  </si>
  <si>
    <t>その他の事業サービス業</t>
  </si>
  <si>
    <t>廃棄物処理業</t>
  </si>
  <si>
    <t>医療業</t>
  </si>
  <si>
    <t>保健衛生</t>
  </si>
  <si>
    <t>社会保険､社会福祉</t>
  </si>
  <si>
    <t>教育</t>
  </si>
  <si>
    <t>学術研究機関</t>
  </si>
  <si>
    <t>宗教</t>
  </si>
  <si>
    <t>政治・経済・文化団体</t>
  </si>
  <si>
    <t>その他のサービス業</t>
  </si>
  <si>
    <t>産業</t>
  </si>
  <si>
    <t>事業所数
(従業者数)</t>
  </si>
  <si>
    <t>総数</t>
  </si>
  <si>
    <t>２人</t>
  </si>
  <si>
    <t>３人</t>
  </si>
  <si>
    <t>４人</t>
  </si>
  <si>
    <t>5～9人</t>
  </si>
  <si>
    <t>10～29人</t>
  </si>
  <si>
    <t>30～49人</t>
  </si>
  <si>
    <t>50～99人</t>
  </si>
  <si>
    <t>100～299人</t>
  </si>
  <si>
    <t>300人以上</t>
  </si>
  <si>
    <t xml:space="preserve">      単位 ：所、人</t>
  </si>
  <si>
    <t>資料  総務省統計局「事業所・企業統計調査報告」</t>
  </si>
  <si>
    <t xml:space="preserve">  総                       数</t>
  </si>
  <si>
    <t>非農林漁業</t>
  </si>
  <si>
    <t>農林漁業</t>
  </si>
  <si>
    <t>運輸・通信業</t>
  </si>
  <si>
    <t>鉱業</t>
  </si>
  <si>
    <t>建設業</t>
  </si>
  <si>
    <t>製造業</t>
  </si>
  <si>
    <t>電気･ガス･熱供給･水道業</t>
  </si>
  <si>
    <t>サービス業</t>
  </si>
  <si>
    <t>金融・保険業</t>
  </si>
  <si>
    <t>不動産業</t>
  </si>
  <si>
    <t>繊維工業</t>
  </si>
  <si>
    <t>1)</t>
  </si>
  <si>
    <t>プラスチック製品製造業</t>
  </si>
  <si>
    <t>2)</t>
  </si>
  <si>
    <t>各種商品卸売業</t>
  </si>
  <si>
    <t>繊維・衣服等卸売業</t>
  </si>
  <si>
    <t>飲食料品卸売業</t>
  </si>
  <si>
    <t>建築材料,鉱物・金属材料等</t>
  </si>
  <si>
    <t>その他の小売業</t>
  </si>
  <si>
    <t>機械器具卸売業</t>
  </si>
  <si>
    <t>その他の卸売業</t>
  </si>
  <si>
    <t>各種商品小売業</t>
  </si>
  <si>
    <t>飲食料品小売業</t>
  </si>
  <si>
    <t>自動車・自転車小売業</t>
  </si>
  <si>
    <t>家具・じゅう器・家庭用</t>
  </si>
  <si>
    <t>中小企業等金融業</t>
  </si>
  <si>
    <t>3)</t>
  </si>
  <si>
    <t>農林水産金融業</t>
  </si>
  <si>
    <t>政府関係金融機関</t>
  </si>
  <si>
    <t>4)</t>
  </si>
  <si>
    <t>保険業</t>
  </si>
  <si>
    <t>5)</t>
  </si>
  <si>
    <t>貸金業,投資業等非預金信用機関</t>
  </si>
  <si>
    <t>機械・家具等修理業</t>
  </si>
  <si>
    <r>
      <t>職別工事業</t>
    </r>
    <r>
      <rPr>
        <sz val="11"/>
        <color indexed="8"/>
        <rFont val="ＭＳ 明朝"/>
        <family val="1"/>
      </rPr>
      <t>（設備工事業を除く）</t>
    </r>
  </si>
  <si>
    <r>
      <t>娯楽業</t>
    </r>
    <r>
      <rPr>
        <sz val="11"/>
        <color indexed="8"/>
        <rFont val="ＭＳ 明朝"/>
        <family val="1"/>
      </rPr>
      <t>(映画･ビデオ製作業を除く)</t>
    </r>
  </si>
  <si>
    <t xml:space="preserve">               ４２        産 業 （ 中 分 類 ） 、従 業 者 規 模</t>
  </si>
  <si>
    <t>-</t>
  </si>
  <si>
    <t>-</t>
  </si>
  <si>
    <t>-</t>
  </si>
  <si>
    <t>派遣・下請従業者のみ(事業所数)</t>
  </si>
  <si>
    <t>（平成13年）</t>
  </si>
  <si>
    <t>（平成13年）（続）</t>
  </si>
  <si>
    <t>-</t>
  </si>
  <si>
    <t>不動産賃貸業・管理業</t>
  </si>
  <si>
    <t xml:space="preserve">  3)政府関係金融機関を除く。  4)別掲を除く。　5)保険媒介代理業等を含む。</t>
  </si>
  <si>
    <t>第40表の注参照。  （平成13年10月 1日現在）</t>
  </si>
  <si>
    <t>木材・木製品製造業(家具を除く)</t>
  </si>
  <si>
    <t>卸売・小売業,飲食店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</si>
</sst>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.0;&quot;△ &quot;#,##0.0"/>
    <numFmt numFmtId="186" formatCode="0;&quot;△ &quot;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color indexed="8"/>
      <name val="ＭＳ 明朝"/>
      <family val="1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8" applyNumberFormat="1" applyFont="1" applyFill="1" applyBorder="1" applyAlignment="1">
      <alignment/>
    </xf>
    <xf numFmtId="181" fontId="5" fillId="0" borderId="0" xfId="18" applyNumberFormat="1" applyFont="1" applyFill="1" applyBorder="1" applyAlignment="1">
      <alignment/>
    </xf>
    <xf numFmtId="181" fontId="7" fillId="0" borderId="0" xfId="16" applyFont="1" applyFill="1" applyAlignment="1">
      <alignment/>
    </xf>
    <xf numFmtId="181" fontId="5" fillId="0" borderId="9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 horizontal="centerContinuous"/>
    </xf>
    <xf numFmtId="181" fontId="5" fillId="0" borderId="11" xfId="18" applyNumberFormat="1" applyFont="1" applyFill="1" applyBorder="1" applyAlignment="1">
      <alignment horizontal="right"/>
    </xf>
    <xf numFmtId="181" fontId="5" fillId="0" borderId="9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1" xfId="16" applyFont="1" applyFill="1" applyBorder="1" applyAlignment="1">
      <alignment horizontal="left"/>
    </xf>
    <xf numFmtId="181" fontId="5" fillId="0" borderId="12" xfId="16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left"/>
    </xf>
    <xf numFmtId="181" fontId="5" fillId="0" borderId="0" xfId="16" applyFont="1" applyFill="1" applyAlignment="1">
      <alignment horizontal="distributed"/>
    </xf>
    <xf numFmtId="181" fontId="11" fillId="0" borderId="0" xfId="16" applyFont="1" applyFill="1" applyAlignment="1">
      <alignment horizontal="distributed"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zoomScale="75" zoomScaleNormal="75" workbookViewId="0" topLeftCell="A1">
      <selection activeCell="B3" sqref="B3:F4"/>
    </sheetView>
  </sheetViews>
  <sheetFormatPr defaultColWidth="8.625" defaultRowHeight="12.75"/>
  <cols>
    <col min="1" max="1" width="2.625" style="1" customWidth="1"/>
    <col min="2" max="2" width="3.875" style="1" customWidth="1"/>
    <col min="3" max="3" width="2.375" style="1" customWidth="1"/>
    <col min="4" max="4" width="2.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14.00390625" style="1" customWidth="1"/>
    <col min="30" max="30" width="4.00390625" style="1" customWidth="1"/>
    <col min="31" max="16384" width="8.625" style="1" customWidth="1"/>
  </cols>
  <sheetData>
    <row r="1" spans="6:25" ht="24">
      <c r="F1" s="2" t="s">
        <v>136</v>
      </c>
      <c r="Q1" s="2" t="s">
        <v>0</v>
      </c>
      <c r="W1" s="2" t="s">
        <v>1</v>
      </c>
      <c r="X1" s="3"/>
      <c r="Y1" s="4" t="s">
        <v>141</v>
      </c>
    </row>
    <row r="2" spans="1:30" ht="24" customHeight="1" thickBot="1">
      <c r="A2" s="5"/>
      <c r="B2" s="5" t="s">
        <v>146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97</v>
      </c>
      <c r="AB2" s="6"/>
      <c r="AC2" s="28"/>
      <c r="AD2" s="7"/>
    </row>
    <row r="3" spans="1:30" ht="15" customHeight="1">
      <c r="A3" s="8"/>
      <c r="B3" s="38" t="s">
        <v>85</v>
      </c>
      <c r="C3" s="39"/>
      <c r="D3" s="39"/>
      <c r="E3" s="39"/>
      <c r="F3" s="39"/>
      <c r="G3" s="8"/>
      <c r="H3" s="35" t="s">
        <v>87</v>
      </c>
      <c r="I3" s="37"/>
      <c r="J3" s="9" t="s">
        <v>3</v>
      </c>
      <c r="K3" s="35" t="s">
        <v>88</v>
      </c>
      <c r="L3" s="37"/>
      <c r="M3" s="35" t="s">
        <v>89</v>
      </c>
      <c r="N3" s="37"/>
      <c r="O3" s="35" t="s">
        <v>90</v>
      </c>
      <c r="P3" s="36"/>
      <c r="Q3" s="36" t="s">
        <v>91</v>
      </c>
      <c r="R3" s="37"/>
      <c r="S3" s="35" t="s">
        <v>92</v>
      </c>
      <c r="T3" s="37"/>
      <c r="U3" s="35" t="s">
        <v>93</v>
      </c>
      <c r="V3" s="37"/>
      <c r="W3" s="35" t="s">
        <v>94</v>
      </c>
      <c r="X3" s="37"/>
      <c r="Y3" s="35" t="s">
        <v>95</v>
      </c>
      <c r="Z3" s="37"/>
      <c r="AA3" s="35" t="s">
        <v>96</v>
      </c>
      <c r="AB3" s="36"/>
      <c r="AC3" s="33" t="s">
        <v>140</v>
      </c>
      <c r="AD3" s="7"/>
    </row>
    <row r="4" spans="1:30" ht="30" customHeight="1">
      <c r="A4" s="10"/>
      <c r="B4" s="40"/>
      <c r="C4" s="40"/>
      <c r="D4" s="40"/>
      <c r="E4" s="40"/>
      <c r="F4" s="40"/>
      <c r="G4" s="10"/>
      <c r="H4" s="11" t="s">
        <v>4</v>
      </c>
      <c r="I4" s="11" t="s">
        <v>5</v>
      </c>
      <c r="J4" s="12" t="s">
        <v>86</v>
      </c>
      <c r="K4" s="11" t="s">
        <v>4</v>
      </c>
      <c r="L4" s="11" t="s">
        <v>5</v>
      </c>
      <c r="M4" s="11" t="s">
        <v>4</v>
      </c>
      <c r="N4" s="11" t="s">
        <v>5</v>
      </c>
      <c r="O4" s="11" t="s">
        <v>4</v>
      </c>
      <c r="P4" s="13" t="s">
        <v>5</v>
      </c>
      <c r="Q4" s="14" t="s">
        <v>4</v>
      </c>
      <c r="R4" s="11" t="s">
        <v>5</v>
      </c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3" t="s">
        <v>5</v>
      </c>
      <c r="AC4" s="34"/>
      <c r="AD4" s="7"/>
    </row>
    <row r="5" spans="2:30" ht="30" customHeight="1">
      <c r="B5" s="4"/>
      <c r="C5" s="41" t="s">
        <v>99</v>
      </c>
      <c r="D5" s="41"/>
      <c r="E5" s="41"/>
      <c r="F5" s="41"/>
      <c r="H5" s="15">
        <f>SUM(H6,H14)</f>
        <v>72906</v>
      </c>
      <c r="I5" s="16">
        <f>SUM(I6,I14)</f>
        <v>550813</v>
      </c>
      <c r="J5" s="16">
        <f aca="true" t="shared" si="0" ref="J5:AB5">SUM(J6,J14)</f>
        <v>15324</v>
      </c>
      <c r="K5" s="16">
        <f t="shared" si="0"/>
        <v>16254</v>
      </c>
      <c r="L5" s="16">
        <f t="shared" si="0"/>
        <v>32508</v>
      </c>
      <c r="M5" s="16">
        <f t="shared" si="0"/>
        <v>9063</v>
      </c>
      <c r="N5" s="16">
        <f t="shared" si="0"/>
        <v>27189</v>
      </c>
      <c r="O5" s="16">
        <f t="shared" si="0"/>
        <v>6231</v>
      </c>
      <c r="P5" s="16">
        <f t="shared" si="0"/>
        <v>24924</v>
      </c>
      <c r="Q5" s="16">
        <f t="shared" si="0"/>
        <v>13527</v>
      </c>
      <c r="R5" s="16">
        <f t="shared" si="0"/>
        <v>87685</v>
      </c>
      <c r="S5" s="16">
        <f t="shared" si="0"/>
        <v>9647</v>
      </c>
      <c r="T5" s="16">
        <f t="shared" si="0"/>
        <v>153254</v>
      </c>
      <c r="U5" s="16">
        <f t="shared" si="0"/>
        <v>1510</v>
      </c>
      <c r="V5" s="16">
        <f t="shared" si="0"/>
        <v>56171</v>
      </c>
      <c r="W5" s="16">
        <f t="shared" si="0"/>
        <v>865</v>
      </c>
      <c r="X5" s="16">
        <f t="shared" si="0"/>
        <v>58421</v>
      </c>
      <c r="Y5" s="16">
        <f t="shared" si="0"/>
        <v>384</v>
      </c>
      <c r="Z5" s="16">
        <f t="shared" si="0"/>
        <v>59543</v>
      </c>
      <c r="AA5" s="16">
        <f t="shared" si="0"/>
        <v>54</v>
      </c>
      <c r="AB5" s="16">
        <f t="shared" si="0"/>
        <v>35794</v>
      </c>
      <c r="AC5" s="16">
        <f>SUM(AC6,AC14)</f>
        <v>47</v>
      </c>
      <c r="AD5" s="7"/>
    </row>
    <row r="6" spans="2:29" ht="30" customHeight="1">
      <c r="B6" s="42" t="s">
        <v>101</v>
      </c>
      <c r="C6" s="42"/>
      <c r="D6" s="42"/>
      <c r="E6" s="42"/>
      <c r="F6" s="42"/>
      <c r="H6" s="18">
        <f aca="true" t="shared" si="1" ref="H6:Z6">SUM(H7,H9,H11)</f>
        <v>428</v>
      </c>
      <c r="I6" s="7">
        <f t="shared" si="1"/>
        <v>7154</v>
      </c>
      <c r="J6" s="7">
        <f t="shared" si="1"/>
        <v>28</v>
      </c>
      <c r="K6" s="7">
        <f t="shared" si="1"/>
        <v>23</v>
      </c>
      <c r="L6" s="7">
        <f t="shared" si="1"/>
        <v>46</v>
      </c>
      <c r="M6" s="7">
        <f t="shared" si="1"/>
        <v>26</v>
      </c>
      <c r="N6" s="7">
        <f t="shared" si="1"/>
        <v>78</v>
      </c>
      <c r="O6" s="7">
        <f t="shared" si="1"/>
        <v>17</v>
      </c>
      <c r="P6" s="7">
        <f t="shared" si="1"/>
        <v>68</v>
      </c>
      <c r="Q6" s="7">
        <f t="shared" si="1"/>
        <v>114</v>
      </c>
      <c r="R6" s="7">
        <f t="shared" si="1"/>
        <v>802</v>
      </c>
      <c r="S6" s="7">
        <f t="shared" si="1"/>
        <v>158</v>
      </c>
      <c r="T6" s="7">
        <f t="shared" si="1"/>
        <v>2709</v>
      </c>
      <c r="U6" s="7">
        <f t="shared" si="1"/>
        <v>36</v>
      </c>
      <c r="V6" s="7">
        <f t="shared" si="1"/>
        <v>1344</v>
      </c>
      <c r="W6" s="7">
        <f t="shared" si="1"/>
        <v>19</v>
      </c>
      <c r="X6" s="7">
        <f t="shared" si="1"/>
        <v>1255</v>
      </c>
      <c r="Y6" s="7">
        <f t="shared" si="1"/>
        <v>7</v>
      </c>
      <c r="Z6" s="7">
        <f t="shared" si="1"/>
        <v>824</v>
      </c>
      <c r="AA6" s="20" t="s">
        <v>137</v>
      </c>
      <c r="AB6" s="20" t="s">
        <v>137</v>
      </c>
      <c r="AC6" s="20" t="s">
        <v>137</v>
      </c>
    </row>
    <row r="7" spans="3:29" ht="30" customHeight="1">
      <c r="C7" s="42" t="s">
        <v>7</v>
      </c>
      <c r="D7" s="42"/>
      <c r="E7" s="42"/>
      <c r="F7" s="42"/>
      <c r="H7" s="18">
        <f aca="true" t="shared" si="2" ref="H7:P7">H8</f>
        <v>157</v>
      </c>
      <c r="I7" s="7">
        <f t="shared" si="2"/>
        <v>1513</v>
      </c>
      <c r="J7" s="7">
        <f t="shared" si="2"/>
        <v>20</v>
      </c>
      <c r="K7" s="7">
        <f t="shared" si="2"/>
        <v>16</v>
      </c>
      <c r="L7" s="7">
        <f t="shared" si="2"/>
        <v>32</v>
      </c>
      <c r="M7" s="7">
        <f t="shared" si="2"/>
        <v>17</v>
      </c>
      <c r="N7" s="7">
        <f t="shared" si="2"/>
        <v>51</v>
      </c>
      <c r="O7" s="7">
        <f t="shared" si="2"/>
        <v>7</v>
      </c>
      <c r="P7" s="7">
        <f t="shared" si="2"/>
        <v>28</v>
      </c>
      <c r="Q7" s="7">
        <f aca="true" t="shared" si="3" ref="Q7:Z7">Q8</f>
        <v>38</v>
      </c>
      <c r="R7" s="7">
        <f t="shared" si="3"/>
        <v>264</v>
      </c>
      <c r="S7" s="7">
        <f t="shared" si="3"/>
        <v>54</v>
      </c>
      <c r="T7" s="7">
        <f t="shared" si="3"/>
        <v>887</v>
      </c>
      <c r="U7" s="7">
        <f t="shared" si="3"/>
        <v>4</v>
      </c>
      <c r="V7" s="7">
        <f t="shared" si="3"/>
        <v>151</v>
      </c>
      <c r="W7" s="7">
        <f t="shared" si="3"/>
        <v>1</v>
      </c>
      <c r="X7" s="7">
        <f t="shared" si="3"/>
        <v>80</v>
      </c>
      <c r="Y7" s="20" t="str">
        <f t="shared" si="3"/>
        <v>-</v>
      </c>
      <c r="Z7" s="20" t="str">
        <f t="shared" si="3"/>
        <v>-</v>
      </c>
      <c r="AA7" s="20" t="s">
        <v>139</v>
      </c>
      <c r="AB7" s="20" t="s">
        <v>139</v>
      </c>
      <c r="AC7" s="20" t="s">
        <v>137</v>
      </c>
    </row>
    <row r="8" spans="5:29" ht="15" customHeight="1">
      <c r="E8" s="42" t="s">
        <v>7</v>
      </c>
      <c r="F8" s="42"/>
      <c r="H8" s="18">
        <f>SUM(J8,K8,M8,O8,Q8,S8,U8,W8,Y8,AA8)</f>
        <v>157</v>
      </c>
      <c r="I8" s="7">
        <f>SUM(J8,L8,N8,P8,R8,T8,V8,X8,Z8,AB8)</f>
        <v>1513</v>
      </c>
      <c r="J8" s="1">
        <v>20</v>
      </c>
      <c r="K8" s="1">
        <v>16</v>
      </c>
      <c r="L8" s="1">
        <v>32</v>
      </c>
      <c r="M8" s="1">
        <v>17</v>
      </c>
      <c r="N8" s="1">
        <v>51</v>
      </c>
      <c r="O8" s="1">
        <v>7</v>
      </c>
      <c r="P8" s="1">
        <v>28</v>
      </c>
      <c r="Q8" s="1">
        <v>38</v>
      </c>
      <c r="R8" s="1">
        <v>264</v>
      </c>
      <c r="S8" s="1">
        <v>54</v>
      </c>
      <c r="T8" s="1">
        <f>558+329</f>
        <v>887</v>
      </c>
      <c r="U8" s="1">
        <v>4</v>
      </c>
      <c r="V8" s="1">
        <v>151</v>
      </c>
      <c r="W8" s="1">
        <v>1</v>
      </c>
      <c r="X8" s="1">
        <v>80</v>
      </c>
      <c r="Y8" s="19" t="s">
        <v>137</v>
      </c>
      <c r="Z8" s="19" t="s">
        <v>137</v>
      </c>
      <c r="AA8" s="19" t="s">
        <v>137</v>
      </c>
      <c r="AB8" s="19" t="s">
        <v>137</v>
      </c>
      <c r="AC8" s="20" t="s">
        <v>137</v>
      </c>
    </row>
    <row r="9" spans="3:29" ht="30" customHeight="1">
      <c r="C9" s="42" t="s">
        <v>8</v>
      </c>
      <c r="D9" s="42"/>
      <c r="E9" s="42"/>
      <c r="F9" s="42"/>
      <c r="H9" s="18">
        <f aca="true" t="shared" si="4" ref="H9:P9">H10</f>
        <v>17</v>
      </c>
      <c r="I9" s="7">
        <f t="shared" si="4"/>
        <v>227</v>
      </c>
      <c r="J9" s="7">
        <f t="shared" si="4"/>
        <v>4</v>
      </c>
      <c r="K9" s="20" t="str">
        <f t="shared" si="4"/>
        <v>-</v>
      </c>
      <c r="L9" s="20" t="str">
        <f t="shared" si="4"/>
        <v>-</v>
      </c>
      <c r="M9" s="20">
        <f t="shared" si="4"/>
        <v>1</v>
      </c>
      <c r="N9" s="20">
        <f t="shared" si="4"/>
        <v>3</v>
      </c>
      <c r="O9" s="7">
        <f t="shared" si="4"/>
        <v>1</v>
      </c>
      <c r="P9" s="7">
        <f t="shared" si="4"/>
        <v>4</v>
      </c>
      <c r="Q9" s="7">
        <f aca="true" t="shared" si="5" ref="Q9:Z9">Q10</f>
        <v>6</v>
      </c>
      <c r="R9" s="7">
        <f t="shared" si="5"/>
        <v>44</v>
      </c>
      <c r="S9" s="7">
        <f t="shared" si="5"/>
        <v>3</v>
      </c>
      <c r="T9" s="7">
        <f t="shared" si="5"/>
        <v>55</v>
      </c>
      <c r="U9" s="20">
        <f t="shared" si="5"/>
        <v>1</v>
      </c>
      <c r="V9" s="20">
        <f t="shared" si="5"/>
        <v>41</v>
      </c>
      <c r="W9" s="7">
        <f t="shared" si="5"/>
        <v>1</v>
      </c>
      <c r="X9" s="7">
        <f>X10</f>
        <v>76</v>
      </c>
      <c r="Y9" s="20" t="str">
        <f>Y10</f>
        <v>-</v>
      </c>
      <c r="Z9" s="20" t="str">
        <f t="shared" si="5"/>
        <v>-</v>
      </c>
      <c r="AA9" s="20" t="s">
        <v>139</v>
      </c>
      <c r="AB9" s="20" t="s">
        <v>139</v>
      </c>
      <c r="AC9" s="20" t="s">
        <v>137</v>
      </c>
    </row>
    <row r="10" spans="5:29" ht="15" customHeight="1">
      <c r="E10" s="42" t="s">
        <v>8</v>
      </c>
      <c r="F10" s="42"/>
      <c r="H10" s="18">
        <f>SUM(J10,K10,M10,O10,Q10,S10,U10,W10,Y10,AA10)</f>
        <v>17</v>
      </c>
      <c r="I10" s="7">
        <f>SUM(J10,L10,N10,P10,R10,T10,V10,X10,Z10,AB10)</f>
        <v>227</v>
      </c>
      <c r="J10" s="1">
        <v>4</v>
      </c>
      <c r="K10" s="19" t="s">
        <v>137</v>
      </c>
      <c r="L10" s="19" t="s">
        <v>137</v>
      </c>
      <c r="M10" s="19">
        <v>1</v>
      </c>
      <c r="N10" s="19">
        <v>3</v>
      </c>
      <c r="O10" s="1">
        <v>1</v>
      </c>
      <c r="P10" s="1">
        <v>4</v>
      </c>
      <c r="Q10" s="1">
        <v>6</v>
      </c>
      <c r="R10" s="1">
        <v>44</v>
      </c>
      <c r="S10" s="1">
        <v>3</v>
      </c>
      <c r="T10" s="1">
        <f>29+26</f>
        <v>55</v>
      </c>
      <c r="U10" s="19">
        <v>1</v>
      </c>
      <c r="V10" s="19">
        <v>41</v>
      </c>
      <c r="W10" s="1">
        <v>1</v>
      </c>
      <c r="X10" s="1">
        <v>76</v>
      </c>
      <c r="Y10" s="19" t="s">
        <v>137</v>
      </c>
      <c r="Z10" s="19" t="s">
        <v>137</v>
      </c>
      <c r="AA10" s="19" t="s">
        <v>137</v>
      </c>
      <c r="AB10" s="19" t="s">
        <v>137</v>
      </c>
      <c r="AC10" s="20" t="s">
        <v>137</v>
      </c>
    </row>
    <row r="11" spans="3:29" ht="30" customHeight="1">
      <c r="C11" s="42" t="s">
        <v>9</v>
      </c>
      <c r="D11" s="42"/>
      <c r="E11" s="42"/>
      <c r="F11" s="42"/>
      <c r="H11" s="18">
        <f>SUM(H12:H13)</f>
        <v>254</v>
      </c>
      <c r="I11" s="7">
        <f>SUM(I12:I13)</f>
        <v>5414</v>
      </c>
      <c r="J11" s="7">
        <f aca="true" t="shared" si="6" ref="J11:W11">SUM(J12:J13)</f>
        <v>4</v>
      </c>
      <c r="K11" s="7">
        <f t="shared" si="6"/>
        <v>7</v>
      </c>
      <c r="L11" s="7">
        <f t="shared" si="6"/>
        <v>14</v>
      </c>
      <c r="M11" s="7">
        <f t="shared" si="6"/>
        <v>8</v>
      </c>
      <c r="N11" s="7">
        <f t="shared" si="6"/>
        <v>24</v>
      </c>
      <c r="O11" s="7">
        <f t="shared" si="6"/>
        <v>9</v>
      </c>
      <c r="P11" s="7">
        <f t="shared" si="6"/>
        <v>36</v>
      </c>
      <c r="Q11" s="7">
        <f t="shared" si="6"/>
        <v>70</v>
      </c>
      <c r="R11" s="7">
        <f t="shared" si="6"/>
        <v>494</v>
      </c>
      <c r="S11" s="7">
        <f t="shared" si="6"/>
        <v>101</v>
      </c>
      <c r="T11" s="7">
        <f t="shared" si="6"/>
        <v>1767</v>
      </c>
      <c r="U11" s="7">
        <f t="shared" si="6"/>
        <v>31</v>
      </c>
      <c r="V11" s="7">
        <f t="shared" si="6"/>
        <v>1152</v>
      </c>
      <c r="W11" s="7">
        <f t="shared" si="6"/>
        <v>17</v>
      </c>
      <c r="X11" s="7">
        <f>SUM(X12:X13)</f>
        <v>1099</v>
      </c>
      <c r="Y11" s="7">
        <f>SUM(Y12:Y13)</f>
        <v>7</v>
      </c>
      <c r="Z11" s="7">
        <f>SUM(Z12:Z13)</f>
        <v>824</v>
      </c>
      <c r="AA11" s="19" t="s">
        <v>137</v>
      </c>
      <c r="AB11" s="19" t="s">
        <v>137</v>
      </c>
      <c r="AC11" s="20" t="s">
        <v>137</v>
      </c>
    </row>
    <row r="12" spans="5:29" ht="15" customHeight="1">
      <c r="E12" s="42" t="s">
        <v>9</v>
      </c>
      <c r="F12" s="42"/>
      <c r="H12" s="18">
        <f>SUM(J12,K12,M12,O12,Q12,S12,U12,W12,Y12,AA12)</f>
        <v>74</v>
      </c>
      <c r="I12" s="7">
        <f>SUM(J12,L12,N12,P12,R12,T12,V12,X12,Z12,AB12)</f>
        <v>2641</v>
      </c>
      <c r="J12" s="1">
        <v>2</v>
      </c>
      <c r="K12" s="19">
        <v>3</v>
      </c>
      <c r="L12" s="19">
        <v>6</v>
      </c>
      <c r="M12" s="19">
        <v>2</v>
      </c>
      <c r="N12" s="19">
        <v>6</v>
      </c>
      <c r="O12" s="1">
        <v>3</v>
      </c>
      <c r="P12" s="1">
        <v>12</v>
      </c>
      <c r="Q12" s="1">
        <v>5</v>
      </c>
      <c r="R12" s="1">
        <v>35</v>
      </c>
      <c r="S12" s="1">
        <v>25</v>
      </c>
      <c r="T12" s="1">
        <f>167+338</f>
        <v>505</v>
      </c>
      <c r="U12" s="1">
        <v>18</v>
      </c>
      <c r="V12" s="1">
        <v>645</v>
      </c>
      <c r="W12" s="1">
        <v>10</v>
      </c>
      <c r="X12" s="1">
        <v>709</v>
      </c>
      <c r="Y12" s="1">
        <v>6</v>
      </c>
      <c r="Z12" s="1">
        <v>721</v>
      </c>
      <c r="AA12" s="19" t="s">
        <v>137</v>
      </c>
      <c r="AB12" s="19" t="s">
        <v>137</v>
      </c>
      <c r="AC12" s="20" t="s">
        <v>137</v>
      </c>
    </row>
    <row r="13" spans="5:29" ht="15" customHeight="1">
      <c r="E13" s="42" t="s">
        <v>10</v>
      </c>
      <c r="F13" s="42"/>
      <c r="H13" s="18">
        <f>SUM(J13,K13,M13,O13,Q13,S13,U13,W13,Y13,AA13)</f>
        <v>180</v>
      </c>
      <c r="I13" s="7">
        <f>SUM(J13,L13,N13,P13,R13,T13,V13,X13,Z13,AB13)</f>
        <v>2773</v>
      </c>
      <c r="J13" s="19">
        <v>2</v>
      </c>
      <c r="K13" s="1">
        <v>4</v>
      </c>
      <c r="L13" s="1">
        <v>8</v>
      </c>
      <c r="M13" s="1">
        <v>6</v>
      </c>
      <c r="N13" s="1">
        <v>18</v>
      </c>
      <c r="O13" s="1">
        <v>6</v>
      </c>
      <c r="P13" s="1">
        <v>24</v>
      </c>
      <c r="Q13" s="1">
        <v>65</v>
      </c>
      <c r="R13" s="1">
        <v>459</v>
      </c>
      <c r="S13" s="1">
        <v>76</v>
      </c>
      <c r="T13" s="1">
        <f>740+522</f>
        <v>1262</v>
      </c>
      <c r="U13" s="1">
        <v>13</v>
      </c>
      <c r="V13" s="1">
        <v>507</v>
      </c>
      <c r="W13" s="1">
        <v>7</v>
      </c>
      <c r="X13" s="1">
        <v>390</v>
      </c>
      <c r="Y13" s="19">
        <v>1</v>
      </c>
      <c r="Z13" s="19">
        <v>103</v>
      </c>
      <c r="AA13" s="19" t="s">
        <v>137</v>
      </c>
      <c r="AB13" s="19" t="s">
        <v>137</v>
      </c>
      <c r="AC13" s="20" t="s">
        <v>137</v>
      </c>
    </row>
    <row r="14" spans="2:29" ht="45" customHeight="1">
      <c r="B14" s="42" t="s">
        <v>100</v>
      </c>
      <c r="C14" s="42"/>
      <c r="D14" s="42"/>
      <c r="E14" s="42"/>
      <c r="F14" s="42"/>
      <c r="H14" s="18">
        <f>SUM(H15,H20,H24,H51,H57,'運輸通信業～サービス業'!H9,'運輸通信業～サービス業'!H29,'運輸通信業～サービス業'!H38,'運輸通信業～サービス業'!H41)</f>
        <v>72478</v>
      </c>
      <c r="I14" s="7">
        <f>SUM(I15,I20,I24,I51,I57,'運輸通信業～サービス業'!I9,'運輸通信業～サービス業'!I29,'運輸通信業～サービス業'!I38,'運輸通信業～サービス業'!I41)</f>
        <v>543659</v>
      </c>
      <c r="J14" s="7">
        <f>SUM(J15,J20,J24,J51,J57,'運輸通信業～サービス業'!J9,'運輸通信業～サービス業'!J29,'運輸通信業～サービス業'!J38,'運輸通信業～サービス業'!J41)</f>
        <v>15296</v>
      </c>
      <c r="K14" s="7">
        <f>SUM(K15,K20,K24,K51,K57,'運輸通信業～サービス業'!K9,'運輸通信業～サービス業'!K29,'運輸通信業～サービス業'!K38,'運輸通信業～サービス業'!K41)</f>
        <v>16231</v>
      </c>
      <c r="L14" s="7">
        <f>SUM(L15,L20,L24,L51,L57,'運輸通信業～サービス業'!L9,'運輸通信業～サービス業'!L29,'運輸通信業～サービス業'!L38,'運輸通信業～サービス業'!L41)</f>
        <v>32462</v>
      </c>
      <c r="M14" s="7">
        <f>SUM(M15,M20,M24,M51,M57,'運輸通信業～サービス業'!M9,'運輸通信業～サービス業'!M29,'運輸通信業～サービス業'!M38,'運輸通信業～サービス業'!M41)</f>
        <v>9037</v>
      </c>
      <c r="N14" s="7">
        <f>SUM(N15,N20,N24,N51,N57,'運輸通信業～サービス業'!N9,'運輸通信業～サービス業'!N29,'運輸通信業～サービス業'!N38,'運輸通信業～サービス業'!N41)</f>
        <v>27111</v>
      </c>
      <c r="O14" s="7">
        <f>SUM(O15,O20,O24,O51,O57,'運輸通信業～サービス業'!O9,'運輸通信業～サービス業'!O29,'運輸通信業～サービス業'!O38,'運輸通信業～サービス業'!O41)</f>
        <v>6214</v>
      </c>
      <c r="P14" s="7">
        <f>SUM(P15,P20,P24,P51,P57,'運輸通信業～サービス業'!P9,'運輸通信業～サービス業'!P29,'運輸通信業～サービス業'!P38,'運輸通信業～サービス業'!P41)</f>
        <v>24856</v>
      </c>
      <c r="Q14" s="7">
        <f>SUM(Q15,Q20,Q24,Q51,Q57,'運輸通信業～サービス業'!Q9,'運輸通信業～サービス業'!Q29,'運輸通信業～サービス業'!Q38,'運輸通信業～サービス業'!Q41)</f>
        <v>13413</v>
      </c>
      <c r="R14" s="7">
        <f>SUM(R15,R20,R24,R51,R57,'運輸通信業～サービス業'!R9,'運輸通信業～サービス業'!R29,'運輸通信業～サービス業'!R38,'運輸通信業～サービス業'!R41)</f>
        <v>86883</v>
      </c>
      <c r="S14" s="7">
        <f>SUM(S15,S20,S24,S51,S57,'運輸通信業～サービス業'!S9,'運輸通信業～サービス業'!S29,'運輸通信業～サービス業'!S38,'運輸通信業～サービス業'!S41)</f>
        <v>9489</v>
      </c>
      <c r="T14" s="7">
        <f>SUM(T15,T20,T24,T51,T57,'運輸通信業～サービス業'!T9,'運輸通信業～サービス業'!T29,'運輸通信業～サービス業'!T38,'運輸通信業～サービス業'!T41)</f>
        <v>150545</v>
      </c>
      <c r="U14" s="7">
        <f>SUM(U15,U20,U24,U51,U57,'運輸通信業～サービス業'!U9,'運輸通信業～サービス業'!U29,'運輸通信業～サービス業'!U38,'運輸通信業～サービス業'!U41)</f>
        <v>1474</v>
      </c>
      <c r="V14" s="7">
        <f>SUM(V15,V20,V24,V51,V57,'運輸通信業～サービス業'!V9,'運輸通信業～サービス業'!V29,'運輸通信業～サービス業'!V38,'運輸通信業～サービス業'!V41)</f>
        <v>54827</v>
      </c>
      <c r="W14" s="7">
        <f>SUM(W15,W20,W24,W51,W57,'運輸通信業～サービス業'!W9,'運輸通信業～サービス業'!W29,'運輸通信業～サービス業'!W38,'運輸通信業～サービス業'!W41)</f>
        <v>846</v>
      </c>
      <c r="X14" s="7">
        <f>SUM(X15,X20,X24,X51,X57,'運輸通信業～サービス業'!X9,'運輸通信業～サービス業'!X29,'運輸通信業～サービス業'!X38,'運輸通信業～サービス業'!X41)</f>
        <v>57166</v>
      </c>
      <c r="Y14" s="7">
        <f>SUM(Y15,Y20,Y24,Y51,Y57,'運輸通信業～サービス業'!Y9,'運輸通信業～サービス業'!Y29,'運輸通信業～サービス業'!Y38,'運輸通信業～サービス業'!Y41)</f>
        <v>377</v>
      </c>
      <c r="Z14" s="7">
        <f>SUM(Z15,Z20,Z24,Z51,Z57,'運輸通信業～サービス業'!Z9,'運輸通信業～サービス業'!Z29,'運輸通信業～サービス業'!Z38,'運輸通信業～サービス業'!Z41)</f>
        <v>58719</v>
      </c>
      <c r="AA14" s="7">
        <f>SUM(AA15,AA20,AA24,AA51,AA57,'運輸通信業～サービス業'!AA9,'運輸通信業～サービス業'!AA29,'運輸通信業～サービス業'!AA38,'運輸通信業～サービス業'!AA41)</f>
        <v>54</v>
      </c>
      <c r="AB14" s="7">
        <f>SUM(AB15,AB20,AB24,AB51,AB57,'運輸通信業～サービス業'!AB9,'運輸通信業～サービス業'!AB29,'運輸通信業～サービス業'!AB38,'運輸通信業～サービス業'!AB41)</f>
        <v>35794</v>
      </c>
      <c r="AC14" s="7">
        <f>SUM(AC15,AC20,AC24,AC51,AC57,'運輸通信業～サービス業'!AC9,'運輸通信業～サービス業'!AC29,'運輸通信業～サービス業'!AC38,'運輸通信業～サービス業'!AC41)</f>
        <v>47</v>
      </c>
    </row>
    <row r="15" spans="3:29" ht="30.75" customHeight="1">
      <c r="C15" s="42" t="s">
        <v>103</v>
      </c>
      <c r="D15" s="42"/>
      <c r="E15" s="42"/>
      <c r="F15" s="42"/>
      <c r="H15" s="18">
        <f>SUM(H16:H19)</f>
        <v>62</v>
      </c>
      <c r="I15" s="7">
        <f>SUM(I16:I19)</f>
        <v>1678</v>
      </c>
      <c r="J15" s="7">
        <f aca="true" t="shared" si="7" ref="J15:P15">SUM(J16:J19)</f>
        <v>1</v>
      </c>
      <c r="K15" s="7">
        <f t="shared" si="7"/>
        <v>3</v>
      </c>
      <c r="L15" s="7">
        <f t="shared" si="7"/>
        <v>6</v>
      </c>
      <c r="M15" s="7">
        <f t="shared" si="7"/>
        <v>3</v>
      </c>
      <c r="N15" s="7">
        <f t="shared" si="7"/>
        <v>9</v>
      </c>
      <c r="O15" s="7">
        <f t="shared" si="7"/>
        <v>3</v>
      </c>
      <c r="P15" s="7">
        <f t="shared" si="7"/>
        <v>12</v>
      </c>
      <c r="Q15" s="7">
        <f aca="true" t="shared" si="8" ref="Q15:X15">SUM(Q16:Q19)</f>
        <v>12</v>
      </c>
      <c r="R15" s="7">
        <f t="shared" si="8"/>
        <v>85</v>
      </c>
      <c r="S15" s="7">
        <f t="shared" si="8"/>
        <v>31</v>
      </c>
      <c r="T15" s="7">
        <f t="shared" si="8"/>
        <v>538</v>
      </c>
      <c r="U15" s="7">
        <f t="shared" si="8"/>
        <v>5</v>
      </c>
      <c r="V15" s="7">
        <f t="shared" si="8"/>
        <v>174</v>
      </c>
      <c r="W15" s="7">
        <f t="shared" si="8"/>
        <v>3</v>
      </c>
      <c r="X15" s="7">
        <f t="shared" si="8"/>
        <v>243</v>
      </c>
      <c r="Y15" s="19" t="s">
        <v>137</v>
      </c>
      <c r="Z15" s="19" t="s">
        <v>6</v>
      </c>
      <c r="AA15" s="7">
        <f>SUM(AA16:AA19)</f>
        <v>1</v>
      </c>
      <c r="AB15" s="7">
        <f>SUM(AB16:AB19)</f>
        <v>610</v>
      </c>
      <c r="AC15" s="20" t="s">
        <v>137</v>
      </c>
    </row>
    <row r="16" spans="5:29" ht="15" customHeight="1">
      <c r="E16" s="42" t="s">
        <v>11</v>
      </c>
      <c r="F16" s="42"/>
      <c r="H16" s="18">
        <f>SUM(J16,K16,M16,O16,Q16,S16,U16,W16,Y16,AA16,AC16)</f>
        <v>1</v>
      </c>
      <c r="I16" s="7">
        <f>SUM(J16,L16,N16,P16,R16,T16,V16,X16,Z16,AB16)</f>
        <v>8</v>
      </c>
      <c r="J16" s="19" t="s">
        <v>137</v>
      </c>
      <c r="K16" s="19" t="s">
        <v>137</v>
      </c>
      <c r="L16" s="19" t="s">
        <v>137</v>
      </c>
      <c r="M16" s="19" t="s">
        <v>137</v>
      </c>
      <c r="N16" s="19" t="s">
        <v>137</v>
      </c>
      <c r="O16" s="19" t="s">
        <v>137</v>
      </c>
      <c r="P16" s="19" t="s">
        <v>137</v>
      </c>
      <c r="Q16" s="1">
        <v>1</v>
      </c>
      <c r="R16" s="1">
        <v>8</v>
      </c>
      <c r="S16" s="19" t="s">
        <v>137</v>
      </c>
      <c r="T16" s="19" t="s">
        <v>137</v>
      </c>
      <c r="U16" s="19" t="s">
        <v>137</v>
      </c>
      <c r="V16" s="19" t="s">
        <v>137</v>
      </c>
      <c r="W16" s="19" t="s">
        <v>137</v>
      </c>
      <c r="X16" s="19" t="s">
        <v>138</v>
      </c>
      <c r="Y16" s="19" t="s">
        <v>137</v>
      </c>
      <c r="Z16" s="19" t="s">
        <v>137</v>
      </c>
      <c r="AA16" s="19" t="s">
        <v>137</v>
      </c>
      <c r="AB16" s="19" t="s">
        <v>137</v>
      </c>
      <c r="AC16" s="20" t="s">
        <v>137</v>
      </c>
    </row>
    <row r="17" spans="5:29" ht="15" customHeight="1">
      <c r="E17" s="42" t="s">
        <v>12</v>
      </c>
      <c r="F17" s="42"/>
      <c r="H17" s="18">
        <f aca="true" t="shared" si="9" ref="H17:H62">SUM(J17,K17,M17,O17,Q17,S17,U17,W17,Y17,AA17,AC17)</f>
        <v>4</v>
      </c>
      <c r="I17" s="7">
        <f>SUM(J17,L17,N17,P17,R17,T17,V17,X17,Z17,AB17)</f>
        <v>791</v>
      </c>
      <c r="J17" s="19" t="s">
        <v>137</v>
      </c>
      <c r="K17" s="19" t="s">
        <v>137</v>
      </c>
      <c r="L17" s="19" t="s">
        <v>137</v>
      </c>
      <c r="M17" s="19" t="s">
        <v>137</v>
      </c>
      <c r="N17" s="19" t="s">
        <v>137</v>
      </c>
      <c r="O17" s="19" t="s">
        <v>137</v>
      </c>
      <c r="P17" s="19" t="s">
        <v>137</v>
      </c>
      <c r="Q17" s="19" t="s">
        <v>137</v>
      </c>
      <c r="R17" s="19" t="s">
        <v>137</v>
      </c>
      <c r="S17" s="19" t="s">
        <v>137</v>
      </c>
      <c r="T17" s="19" t="s">
        <v>137</v>
      </c>
      <c r="U17" s="1">
        <v>1</v>
      </c>
      <c r="V17" s="1">
        <v>30</v>
      </c>
      <c r="W17" s="19">
        <v>2</v>
      </c>
      <c r="X17" s="19">
        <v>151</v>
      </c>
      <c r="Y17" s="19" t="s">
        <v>137</v>
      </c>
      <c r="Z17" s="19" t="s">
        <v>137</v>
      </c>
      <c r="AA17" s="1">
        <v>1</v>
      </c>
      <c r="AB17" s="1">
        <v>610</v>
      </c>
      <c r="AC17" s="20" t="s">
        <v>137</v>
      </c>
    </row>
    <row r="18" spans="5:29" ht="15" customHeight="1">
      <c r="E18" s="42" t="s">
        <v>13</v>
      </c>
      <c r="F18" s="42"/>
      <c r="H18" s="30" t="s">
        <v>143</v>
      </c>
      <c r="I18" s="19" t="s">
        <v>6</v>
      </c>
      <c r="J18" s="19" t="s">
        <v>137</v>
      </c>
      <c r="K18" s="19" t="s">
        <v>137</v>
      </c>
      <c r="L18" s="19" t="s">
        <v>137</v>
      </c>
      <c r="M18" s="19" t="s">
        <v>137</v>
      </c>
      <c r="N18" s="19" t="s">
        <v>137</v>
      </c>
      <c r="O18" s="19" t="s">
        <v>137</v>
      </c>
      <c r="P18" s="19" t="s">
        <v>137</v>
      </c>
      <c r="Q18" s="19" t="s">
        <v>137</v>
      </c>
      <c r="R18" s="19" t="s">
        <v>137</v>
      </c>
      <c r="S18" s="19" t="s">
        <v>137</v>
      </c>
      <c r="T18" s="19" t="s">
        <v>137</v>
      </c>
      <c r="U18" s="19" t="s">
        <v>137</v>
      </c>
      <c r="V18" s="19" t="s">
        <v>137</v>
      </c>
      <c r="W18" s="19" t="s">
        <v>137</v>
      </c>
      <c r="X18" s="19" t="s">
        <v>137</v>
      </c>
      <c r="Y18" s="19" t="s">
        <v>137</v>
      </c>
      <c r="Z18" s="19" t="s">
        <v>137</v>
      </c>
      <c r="AA18" s="19" t="s">
        <v>137</v>
      </c>
      <c r="AB18" s="19" t="s">
        <v>137</v>
      </c>
      <c r="AC18" s="20" t="s">
        <v>137</v>
      </c>
    </row>
    <row r="19" spans="5:29" ht="15" customHeight="1">
      <c r="E19" s="42" t="s">
        <v>14</v>
      </c>
      <c r="F19" s="42"/>
      <c r="H19" s="18">
        <f t="shared" si="9"/>
        <v>57</v>
      </c>
      <c r="I19" s="7">
        <f>SUM(J19,L19,N19,P19,R19,T19,V19,X19,Z19,AB19)</f>
        <v>879</v>
      </c>
      <c r="J19" s="1">
        <v>1</v>
      </c>
      <c r="K19" s="1">
        <v>3</v>
      </c>
      <c r="L19" s="1">
        <v>6</v>
      </c>
      <c r="M19" s="1">
        <v>3</v>
      </c>
      <c r="N19" s="1">
        <v>9</v>
      </c>
      <c r="O19" s="1">
        <v>3</v>
      </c>
      <c r="P19" s="1">
        <v>12</v>
      </c>
      <c r="Q19" s="1">
        <v>11</v>
      </c>
      <c r="R19" s="1">
        <v>77</v>
      </c>
      <c r="S19" s="1">
        <v>31</v>
      </c>
      <c r="T19" s="1">
        <f>278+260</f>
        <v>538</v>
      </c>
      <c r="U19" s="1">
        <v>4</v>
      </c>
      <c r="V19" s="1">
        <v>144</v>
      </c>
      <c r="W19" s="1">
        <v>1</v>
      </c>
      <c r="X19" s="1">
        <v>92</v>
      </c>
      <c r="Y19" s="19" t="s">
        <v>137</v>
      </c>
      <c r="Z19" s="19" t="s">
        <v>137</v>
      </c>
      <c r="AA19" s="19" t="s">
        <v>137</v>
      </c>
      <c r="AB19" s="19" t="s">
        <v>137</v>
      </c>
      <c r="AC19" s="20" t="s">
        <v>137</v>
      </c>
    </row>
    <row r="20" spans="3:29" ht="30" customHeight="1">
      <c r="C20" s="42" t="s">
        <v>104</v>
      </c>
      <c r="D20" s="42"/>
      <c r="E20" s="42"/>
      <c r="F20" s="42"/>
      <c r="H20" s="18">
        <f>SUM(H21:H23)</f>
        <v>7449</v>
      </c>
      <c r="I20" s="7">
        <f>SUM(I21:I23)</f>
        <v>62096</v>
      </c>
      <c r="J20" s="7">
        <f aca="true" t="shared" si="10" ref="J20:P20">SUM(J21:J23)</f>
        <v>1269</v>
      </c>
      <c r="K20" s="7">
        <f t="shared" si="10"/>
        <v>985</v>
      </c>
      <c r="L20" s="7">
        <f t="shared" si="10"/>
        <v>1970</v>
      </c>
      <c r="M20" s="7">
        <f t="shared" si="10"/>
        <v>755</v>
      </c>
      <c r="N20" s="7">
        <f t="shared" si="10"/>
        <v>2265</v>
      </c>
      <c r="O20" s="7">
        <f t="shared" si="10"/>
        <v>630</v>
      </c>
      <c r="P20" s="7">
        <f t="shared" si="10"/>
        <v>2520</v>
      </c>
      <c r="Q20" s="7">
        <f aca="true" t="shared" si="11" ref="Q20:AB20">SUM(Q21:Q23)</f>
        <v>1921</v>
      </c>
      <c r="R20" s="7">
        <f t="shared" si="11"/>
        <v>12850</v>
      </c>
      <c r="S20" s="7">
        <f t="shared" si="11"/>
        <v>1581</v>
      </c>
      <c r="T20" s="7">
        <f t="shared" si="11"/>
        <v>24917</v>
      </c>
      <c r="U20" s="7">
        <f t="shared" si="11"/>
        <v>214</v>
      </c>
      <c r="V20" s="7">
        <f t="shared" si="11"/>
        <v>7889</v>
      </c>
      <c r="W20" s="7">
        <f t="shared" si="11"/>
        <v>74</v>
      </c>
      <c r="X20" s="7">
        <f t="shared" si="11"/>
        <v>5044</v>
      </c>
      <c r="Y20" s="7">
        <f t="shared" si="11"/>
        <v>18</v>
      </c>
      <c r="Z20" s="7">
        <f t="shared" si="11"/>
        <v>2398</v>
      </c>
      <c r="AA20" s="7">
        <f t="shared" si="11"/>
        <v>2</v>
      </c>
      <c r="AB20" s="7">
        <f t="shared" si="11"/>
        <v>974</v>
      </c>
      <c r="AC20" s="20" t="s">
        <v>137</v>
      </c>
    </row>
    <row r="21" spans="5:29" ht="15" customHeight="1">
      <c r="E21" s="42" t="s">
        <v>15</v>
      </c>
      <c r="F21" s="42"/>
      <c r="H21" s="18">
        <f t="shared" si="9"/>
        <v>3522</v>
      </c>
      <c r="I21" s="7">
        <f>SUM(J21,L21,N21,P21,R21,T21,V21,X21,Z21,AB21)</f>
        <v>36098</v>
      </c>
      <c r="J21" s="1">
        <v>305</v>
      </c>
      <c r="K21" s="1">
        <v>348</v>
      </c>
      <c r="L21" s="1">
        <v>696</v>
      </c>
      <c r="M21" s="1">
        <v>346</v>
      </c>
      <c r="N21" s="1">
        <v>1038</v>
      </c>
      <c r="O21" s="1">
        <v>321</v>
      </c>
      <c r="P21" s="1">
        <v>1284</v>
      </c>
      <c r="Q21" s="1">
        <v>1043</v>
      </c>
      <c r="R21" s="1">
        <v>7024</v>
      </c>
      <c r="S21" s="1">
        <v>953</v>
      </c>
      <c r="T21" s="1">
        <f>9688+5616</f>
        <v>15304</v>
      </c>
      <c r="U21" s="1">
        <v>143</v>
      </c>
      <c r="V21" s="1">
        <v>5305</v>
      </c>
      <c r="W21" s="1">
        <v>50</v>
      </c>
      <c r="X21" s="1">
        <v>3479</v>
      </c>
      <c r="Y21" s="1">
        <v>13</v>
      </c>
      <c r="Z21" s="1">
        <v>1663</v>
      </c>
      <c r="AA21" s="19" t="s">
        <v>137</v>
      </c>
      <c r="AB21" s="19" t="s">
        <v>137</v>
      </c>
      <c r="AC21" s="20" t="s">
        <v>137</v>
      </c>
    </row>
    <row r="22" spans="5:29" ht="15" customHeight="1">
      <c r="E22" s="42" t="s">
        <v>134</v>
      </c>
      <c r="F22" s="42"/>
      <c r="H22" s="18">
        <f t="shared" si="9"/>
        <v>2424</v>
      </c>
      <c r="I22" s="7">
        <f>SUM(J22,L22,N22,P22,R22,T22,V22,X22,Z22,AB22)</f>
        <v>12220</v>
      </c>
      <c r="J22" s="1">
        <v>777</v>
      </c>
      <c r="K22" s="1">
        <v>399</v>
      </c>
      <c r="L22" s="1">
        <v>798</v>
      </c>
      <c r="M22" s="1">
        <v>266</v>
      </c>
      <c r="N22" s="1">
        <v>798</v>
      </c>
      <c r="O22" s="1">
        <v>180</v>
      </c>
      <c r="P22" s="1">
        <v>720</v>
      </c>
      <c r="Q22" s="1">
        <v>468</v>
      </c>
      <c r="R22" s="1">
        <v>3115</v>
      </c>
      <c r="S22" s="1">
        <v>305</v>
      </c>
      <c r="T22" s="1">
        <f>3055+1582</f>
        <v>4637</v>
      </c>
      <c r="U22" s="1">
        <v>21</v>
      </c>
      <c r="V22" s="1">
        <v>751</v>
      </c>
      <c r="W22" s="1">
        <v>7</v>
      </c>
      <c r="X22" s="1">
        <v>455</v>
      </c>
      <c r="Y22" s="1">
        <v>1</v>
      </c>
      <c r="Z22" s="1">
        <v>169</v>
      </c>
      <c r="AA22" s="19" t="s">
        <v>137</v>
      </c>
      <c r="AB22" s="19" t="s">
        <v>137</v>
      </c>
      <c r="AC22" s="20" t="s">
        <v>137</v>
      </c>
    </row>
    <row r="23" spans="5:29" ht="15" customHeight="1">
      <c r="E23" s="42" t="s">
        <v>16</v>
      </c>
      <c r="F23" s="42"/>
      <c r="H23" s="18">
        <f t="shared" si="9"/>
        <v>1503</v>
      </c>
      <c r="I23" s="7">
        <f>SUM(J23,L23,N23,P23,R23,T23,V23,X23,Z23,AB23)</f>
        <v>13778</v>
      </c>
      <c r="J23" s="1">
        <v>187</v>
      </c>
      <c r="K23" s="1">
        <v>238</v>
      </c>
      <c r="L23" s="1">
        <v>476</v>
      </c>
      <c r="M23" s="1">
        <v>143</v>
      </c>
      <c r="N23" s="1">
        <v>429</v>
      </c>
      <c r="O23" s="1">
        <v>129</v>
      </c>
      <c r="P23" s="1">
        <v>516</v>
      </c>
      <c r="Q23" s="1">
        <v>410</v>
      </c>
      <c r="R23" s="1">
        <v>2711</v>
      </c>
      <c r="S23" s="1">
        <f>260+63</f>
        <v>323</v>
      </c>
      <c r="T23" s="1">
        <f>3456+1520</f>
        <v>4976</v>
      </c>
      <c r="U23" s="1">
        <v>50</v>
      </c>
      <c r="V23" s="1">
        <v>1833</v>
      </c>
      <c r="W23" s="1">
        <v>17</v>
      </c>
      <c r="X23" s="1">
        <v>1110</v>
      </c>
      <c r="Y23" s="1">
        <v>4</v>
      </c>
      <c r="Z23" s="1">
        <v>566</v>
      </c>
      <c r="AA23" s="19">
        <v>2</v>
      </c>
      <c r="AB23" s="19">
        <v>974</v>
      </c>
      <c r="AC23" s="19" t="s">
        <v>137</v>
      </c>
    </row>
    <row r="24" spans="3:29" ht="30" customHeight="1">
      <c r="C24" s="42" t="s">
        <v>105</v>
      </c>
      <c r="D24" s="42"/>
      <c r="E24" s="42"/>
      <c r="F24" s="42"/>
      <c r="H24" s="18">
        <f>SUM(H25:H49)</f>
        <v>4711</v>
      </c>
      <c r="I24" s="7">
        <f>SUM(I25:I49)</f>
        <v>77513</v>
      </c>
      <c r="J24" s="7">
        <f aca="true" t="shared" si="12" ref="J24:P24">SUM(J25:J49)</f>
        <v>379</v>
      </c>
      <c r="K24" s="7">
        <f t="shared" si="12"/>
        <v>827</v>
      </c>
      <c r="L24" s="7">
        <f t="shared" si="12"/>
        <v>1654</v>
      </c>
      <c r="M24" s="7">
        <f t="shared" si="12"/>
        <v>570</v>
      </c>
      <c r="N24" s="7">
        <f t="shared" si="12"/>
        <v>1710</v>
      </c>
      <c r="O24" s="7">
        <f t="shared" si="12"/>
        <v>454</v>
      </c>
      <c r="P24" s="7">
        <f t="shared" si="12"/>
        <v>1816</v>
      </c>
      <c r="Q24" s="7">
        <f>SUM(Q25:Q49)</f>
        <v>1082</v>
      </c>
      <c r="R24" s="7">
        <f aca="true" t="shared" si="13" ref="R24:AC24">SUM(R25:R49)</f>
        <v>7019</v>
      </c>
      <c r="S24" s="7">
        <f t="shared" si="13"/>
        <v>939</v>
      </c>
      <c r="T24" s="7">
        <f t="shared" si="13"/>
        <v>15383</v>
      </c>
      <c r="U24" s="7">
        <f t="shared" si="13"/>
        <v>221</v>
      </c>
      <c r="V24" s="7">
        <f t="shared" si="13"/>
        <v>8313</v>
      </c>
      <c r="W24" s="7">
        <f t="shared" si="13"/>
        <v>140</v>
      </c>
      <c r="X24" s="7">
        <f t="shared" si="13"/>
        <v>9452</v>
      </c>
      <c r="Y24" s="7">
        <f t="shared" si="13"/>
        <v>82</v>
      </c>
      <c r="Z24" s="7">
        <f t="shared" si="13"/>
        <v>13536</v>
      </c>
      <c r="AA24" s="7">
        <f t="shared" si="13"/>
        <v>16</v>
      </c>
      <c r="AB24" s="7">
        <f t="shared" si="13"/>
        <v>18251</v>
      </c>
      <c r="AC24" s="7">
        <f t="shared" si="13"/>
        <v>1</v>
      </c>
    </row>
    <row r="25" spans="5:29" ht="15" customHeight="1">
      <c r="E25" s="42" t="s">
        <v>17</v>
      </c>
      <c r="F25" s="42"/>
      <c r="H25" s="18">
        <f t="shared" si="9"/>
        <v>1543</v>
      </c>
      <c r="I25" s="7">
        <f aca="true" t="shared" si="14" ref="I25:I34">SUM(J25,L25,N25,P25,R25,T25,V25,X25,Z25,AB25)</f>
        <v>19084</v>
      </c>
      <c r="J25" s="1">
        <v>46</v>
      </c>
      <c r="K25" s="1">
        <v>215</v>
      </c>
      <c r="L25" s="1">
        <v>430</v>
      </c>
      <c r="M25" s="1">
        <v>232</v>
      </c>
      <c r="N25" s="1">
        <v>696</v>
      </c>
      <c r="O25" s="1">
        <v>229</v>
      </c>
      <c r="P25" s="1">
        <v>916</v>
      </c>
      <c r="Q25" s="1">
        <v>427</v>
      </c>
      <c r="R25" s="1">
        <v>2693</v>
      </c>
      <c r="S25" s="1">
        <f>207+67</f>
        <v>274</v>
      </c>
      <c r="T25" s="1">
        <f>2710+1607</f>
        <v>4317</v>
      </c>
      <c r="U25" s="1">
        <v>58</v>
      </c>
      <c r="V25" s="1">
        <v>2169</v>
      </c>
      <c r="W25" s="1">
        <v>38</v>
      </c>
      <c r="X25" s="1">
        <v>2582</v>
      </c>
      <c r="Y25" s="1">
        <v>22</v>
      </c>
      <c r="Z25" s="1">
        <f>2021+2096</f>
        <v>4117</v>
      </c>
      <c r="AA25" s="1">
        <v>2</v>
      </c>
      <c r="AB25" s="1">
        <v>1118</v>
      </c>
      <c r="AC25" s="19" t="s">
        <v>137</v>
      </c>
    </row>
    <row r="26" spans="5:29" ht="15" customHeight="1">
      <c r="E26" s="42" t="s">
        <v>18</v>
      </c>
      <c r="F26" s="42"/>
      <c r="H26" s="18">
        <f t="shared" si="9"/>
        <v>102</v>
      </c>
      <c r="I26" s="7">
        <f t="shared" si="14"/>
        <v>1126</v>
      </c>
      <c r="J26" s="1">
        <v>7</v>
      </c>
      <c r="K26" s="1">
        <v>12</v>
      </c>
      <c r="L26" s="1">
        <v>24</v>
      </c>
      <c r="M26" s="1">
        <v>16</v>
      </c>
      <c r="N26" s="1">
        <v>48</v>
      </c>
      <c r="O26" s="1">
        <v>7</v>
      </c>
      <c r="P26" s="1">
        <v>28</v>
      </c>
      <c r="Q26" s="1">
        <v>32</v>
      </c>
      <c r="R26" s="1">
        <v>199</v>
      </c>
      <c r="S26" s="1">
        <f>12+5</f>
        <v>17</v>
      </c>
      <c r="T26" s="1">
        <f>152+115</f>
        <v>267</v>
      </c>
      <c r="U26" s="1">
        <v>8</v>
      </c>
      <c r="V26" s="1">
        <v>291</v>
      </c>
      <c r="W26" s="1">
        <v>3</v>
      </c>
      <c r="X26" s="1">
        <v>262</v>
      </c>
      <c r="Y26" s="19" t="s">
        <v>137</v>
      </c>
      <c r="Z26" s="19" t="s">
        <v>137</v>
      </c>
      <c r="AA26" s="19" t="s">
        <v>137</v>
      </c>
      <c r="AB26" s="19" t="s">
        <v>137</v>
      </c>
      <c r="AC26" s="19" t="s">
        <v>137</v>
      </c>
    </row>
    <row r="27" spans="4:29" ht="15" customHeight="1">
      <c r="D27" s="1" t="s">
        <v>111</v>
      </c>
      <c r="E27" s="42" t="s">
        <v>110</v>
      </c>
      <c r="F27" s="42"/>
      <c r="H27" s="18">
        <f t="shared" si="9"/>
        <v>34</v>
      </c>
      <c r="I27" s="7">
        <f t="shared" si="14"/>
        <v>561</v>
      </c>
      <c r="J27" s="1">
        <v>2</v>
      </c>
      <c r="K27" s="19">
        <v>4</v>
      </c>
      <c r="L27" s="19">
        <v>8</v>
      </c>
      <c r="M27" s="1">
        <v>4</v>
      </c>
      <c r="N27" s="1">
        <v>12</v>
      </c>
      <c r="O27" s="1">
        <v>4</v>
      </c>
      <c r="P27" s="1">
        <v>16</v>
      </c>
      <c r="Q27" s="1">
        <v>7</v>
      </c>
      <c r="R27" s="1">
        <v>44</v>
      </c>
      <c r="S27" s="1">
        <v>9</v>
      </c>
      <c r="T27" s="1">
        <v>116</v>
      </c>
      <c r="U27" s="19" t="s">
        <v>137</v>
      </c>
      <c r="V27" s="19" t="s">
        <v>137</v>
      </c>
      <c r="W27" s="1">
        <v>2</v>
      </c>
      <c r="X27" s="1">
        <v>141</v>
      </c>
      <c r="Y27" s="1">
        <v>2</v>
      </c>
      <c r="Z27" s="1">
        <v>222</v>
      </c>
      <c r="AA27" s="19" t="s">
        <v>137</v>
      </c>
      <c r="AB27" s="19" t="s">
        <v>137</v>
      </c>
      <c r="AC27" s="19" t="s">
        <v>137</v>
      </c>
    </row>
    <row r="28" spans="5:29" ht="15" customHeight="1">
      <c r="E28" s="42" t="s">
        <v>19</v>
      </c>
      <c r="F28" s="42"/>
      <c r="H28" s="18">
        <f t="shared" si="9"/>
        <v>300</v>
      </c>
      <c r="I28" s="7">
        <f t="shared" si="14"/>
        <v>9424</v>
      </c>
      <c r="J28" s="1">
        <v>18</v>
      </c>
      <c r="K28" s="1">
        <v>17</v>
      </c>
      <c r="L28" s="1">
        <v>34</v>
      </c>
      <c r="M28" s="1">
        <v>11</v>
      </c>
      <c r="N28" s="1">
        <v>33</v>
      </c>
      <c r="O28" s="1">
        <v>14</v>
      </c>
      <c r="P28" s="1">
        <v>56</v>
      </c>
      <c r="Q28" s="1">
        <v>59</v>
      </c>
      <c r="R28" s="1">
        <v>413</v>
      </c>
      <c r="S28" s="1">
        <f>63+28</f>
        <v>91</v>
      </c>
      <c r="T28" s="1">
        <f>902+682</f>
        <v>1584</v>
      </c>
      <c r="U28" s="1">
        <v>40</v>
      </c>
      <c r="V28" s="1">
        <v>1580</v>
      </c>
      <c r="W28" s="1">
        <v>31</v>
      </c>
      <c r="X28" s="1">
        <v>1942</v>
      </c>
      <c r="Y28" s="1">
        <f>14+3</f>
        <v>17</v>
      </c>
      <c r="Z28" s="1">
        <f>1977+769</f>
        <v>2746</v>
      </c>
      <c r="AA28" s="1">
        <v>2</v>
      </c>
      <c r="AB28" s="1">
        <v>1018</v>
      </c>
      <c r="AC28" s="19" t="s">
        <v>137</v>
      </c>
    </row>
    <row r="29" spans="5:29" ht="15" customHeight="1">
      <c r="E29" s="43" t="s">
        <v>147</v>
      </c>
      <c r="F29" s="42"/>
      <c r="H29" s="18">
        <f t="shared" si="9"/>
        <v>125</v>
      </c>
      <c r="I29" s="7">
        <f t="shared" si="14"/>
        <v>887</v>
      </c>
      <c r="J29" s="1">
        <v>11</v>
      </c>
      <c r="K29" s="1">
        <v>16</v>
      </c>
      <c r="L29" s="1">
        <v>32</v>
      </c>
      <c r="M29" s="1">
        <v>17</v>
      </c>
      <c r="N29" s="1">
        <v>51</v>
      </c>
      <c r="O29" s="1">
        <v>22</v>
      </c>
      <c r="P29" s="1">
        <v>88</v>
      </c>
      <c r="Q29" s="1">
        <v>31</v>
      </c>
      <c r="R29" s="1">
        <v>206</v>
      </c>
      <c r="S29" s="1">
        <f>19+6</f>
        <v>25</v>
      </c>
      <c r="T29" s="1">
        <f>247+132</f>
        <v>379</v>
      </c>
      <c r="U29" s="1">
        <v>2</v>
      </c>
      <c r="V29" s="1">
        <v>69</v>
      </c>
      <c r="W29" s="19">
        <v>1</v>
      </c>
      <c r="X29" s="19">
        <v>51</v>
      </c>
      <c r="Y29" s="19" t="s">
        <v>137</v>
      </c>
      <c r="Z29" s="19" t="s">
        <v>137</v>
      </c>
      <c r="AA29" s="19" t="s">
        <v>137</v>
      </c>
      <c r="AB29" s="19" t="s">
        <v>137</v>
      </c>
      <c r="AC29" s="19" t="s">
        <v>137</v>
      </c>
    </row>
    <row r="30" spans="5:29" ht="15" customHeight="1">
      <c r="E30" s="42" t="s">
        <v>20</v>
      </c>
      <c r="F30" s="42"/>
      <c r="H30" s="18">
        <f t="shared" si="9"/>
        <v>187</v>
      </c>
      <c r="I30" s="7">
        <f t="shared" si="14"/>
        <v>875</v>
      </c>
      <c r="J30" s="1">
        <v>36</v>
      </c>
      <c r="K30" s="1">
        <v>41</v>
      </c>
      <c r="L30" s="1">
        <v>82</v>
      </c>
      <c r="M30" s="1">
        <v>31</v>
      </c>
      <c r="N30" s="1">
        <v>93</v>
      </c>
      <c r="O30" s="1">
        <v>13</v>
      </c>
      <c r="P30" s="1">
        <v>52</v>
      </c>
      <c r="Q30" s="1">
        <v>45</v>
      </c>
      <c r="R30" s="1">
        <v>300</v>
      </c>
      <c r="S30" s="1">
        <f>18+2</f>
        <v>20</v>
      </c>
      <c r="T30" s="1">
        <f>227+52</f>
        <v>279</v>
      </c>
      <c r="U30" s="1">
        <v>1</v>
      </c>
      <c r="V30" s="1">
        <v>33</v>
      </c>
      <c r="W30" s="19" t="s">
        <v>137</v>
      </c>
      <c r="X30" s="19" t="s">
        <v>137</v>
      </c>
      <c r="Y30" s="19" t="s">
        <v>137</v>
      </c>
      <c r="Z30" s="19" t="s">
        <v>137</v>
      </c>
      <c r="AA30" s="19" t="s">
        <v>137</v>
      </c>
      <c r="AB30" s="19" t="s">
        <v>137</v>
      </c>
      <c r="AC30" s="19" t="s">
        <v>137</v>
      </c>
    </row>
    <row r="31" spans="5:29" ht="15" customHeight="1">
      <c r="E31" s="42" t="s">
        <v>21</v>
      </c>
      <c r="F31" s="42"/>
      <c r="H31" s="18">
        <f t="shared" si="9"/>
        <v>39</v>
      </c>
      <c r="I31" s="7">
        <f t="shared" si="14"/>
        <v>521</v>
      </c>
      <c r="J31" s="1">
        <v>3</v>
      </c>
      <c r="K31" s="1">
        <v>10</v>
      </c>
      <c r="L31" s="1">
        <v>20</v>
      </c>
      <c r="M31" s="1">
        <v>4</v>
      </c>
      <c r="N31" s="1">
        <v>12</v>
      </c>
      <c r="O31" s="1">
        <v>1</v>
      </c>
      <c r="P31" s="1">
        <v>4</v>
      </c>
      <c r="Q31" s="1">
        <v>6</v>
      </c>
      <c r="R31" s="1">
        <v>39</v>
      </c>
      <c r="S31" s="1">
        <f>6+5</f>
        <v>11</v>
      </c>
      <c r="T31" s="1">
        <f>87+120</f>
        <v>207</v>
      </c>
      <c r="U31" s="1">
        <v>1</v>
      </c>
      <c r="V31" s="1">
        <v>35</v>
      </c>
      <c r="W31" s="1">
        <v>3</v>
      </c>
      <c r="X31" s="1">
        <v>201</v>
      </c>
      <c r="Y31" s="19" t="s">
        <v>137</v>
      </c>
      <c r="Z31" s="19" t="s">
        <v>137</v>
      </c>
      <c r="AA31" s="19" t="s">
        <v>137</v>
      </c>
      <c r="AB31" s="19" t="s">
        <v>137</v>
      </c>
      <c r="AC31" s="19" t="s">
        <v>137</v>
      </c>
    </row>
    <row r="32" spans="5:29" ht="15" customHeight="1">
      <c r="E32" s="42" t="s">
        <v>22</v>
      </c>
      <c r="F32" s="42"/>
      <c r="H32" s="18">
        <f t="shared" si="9"/>
        <v>270</v>
      </c>
      <c r="I32" s="7">
        <f t="shared" si="14"/>
        <v>2879</v>
      </c>
      <c r="J32" s="1">
        <v>23</v>
      </c>
      <c r="K32" s="1">
        <v>61</v>
      </c>
      <c r="L32" s="1">
        <v>122</v>
      </c>
      <c r="M32" s="1">
        <v>32</v>
      </c>
      <c r="N32" s="1">
        <v>96</v>
      </c>
      <c r="O32" s="1">
        <v>26</v>
      </c>
      <c r="P32" s="1">
        <v>104</v>
      </c>
      <c r="Q32" s="1">
        <v>60</v>
      </c>
      <c r="R32" s="1">
        <v>385</v>
      </c>
      <c r="S32" s="1">
        <f>38+11</f>
        <v>49</v>
      </c>
      <c r="T32" s="1">
        <f>523+275</f>
        <v>798</v>
      </c>
      <c r="U32" s="1">
        <v>13</v>
      </c>
      <c r="V32" s="1">
        <v>509</v>
      </c>
      <c r="W32" s="1">
        <v>4</v>
      </c>
      <c r="X32" s="1">
        <v>280</v>
      </c>
      <c r="Y32" s="1">
        <v>1</v>
      </c>
      <c r="Z32" s="1">
        <v>246</v>
      </c>
      <c r="AA32" s="1">
        <v>1</v>
      </c>
      <c r="AB32" s="1">
        <v>316</v>
      </c>
      <c r="AC32" s="19" t="s">
        <v>137</v>
      </c>
    </row>
    <row r="33" spans="5:29" ht="15" customHeight="1">
      <c r="E33" s="42" t="s">
        <v>23</v>
      </c>
      <c r="F33" s="42"/>
      <c r="H33" s="18">
        <f t="shared" si="9"/>
        <v>27</v>
      </c>
      <c r="I33" s="7">
        <f t="shared" si="14"/>
        <v>333</v>
      </c>
      <c r="J33" s="1">
        <v>3</v>
      </c>
      <c r="K33" s="1">
        <v>4</v>
      </c>
      <c r="L33" s="1">
        <v>8</v>
      </c>
      <c r="M33" s="1">
        <v>1</v>
      </c>
      <c r="N33" s="1">
        <v>3</v>
      </c>
      <c r="O33" s="19">
        <v>2</v>
      </c>
      <c r="P33" s="19">
        <v>8</v>
      </c>
      <c r="Q33" s="1">
        <v>8</v>
      </c>
      <c r="R33" s="1">
        <v>50</v>
      </c>
      <c r="S33" s="1">
        <f>5+1</f>
        <v>6</v>
      </c>
      <c r="T33" s="1">
        <f>74+26</f>
        <v>100</v>
      </c>
      <c r="U33" s="1">
        <v>1</v>
      </c>
      <c r="V33" s="1">
        <v>43</v>
      </c>
      <c r="W33" s="1">
        <v>2</v>
      </c>
      <c r="X33" s="1">
        <v>118</v>
      </c>
      <c r="Y33" s="19" t="s">
        <v>137</v>
      </c>
      <c r="Z33" s="19" t="s">
        <v>137</v>
      </c>
      <c r="AA33" s="19" t="s">
        <v>137</v>
      </c>
      <c r="AB33" s="19" t="s">
        <v>137</v>
      </c>
      <c r="AC33" s="19" t="s">
        <v>137</v>
      </c>
    </row>
    <row r="34" spans="5:29" ht="15" customHeight="1">
      <c r="E34" s="42" t="s">
        <v>24</v>
      </c>
      <c r="F34" s="42"/>
      <c r="H34" s="18">
        <f t="shared" si="9"/>
        <v>8</v>
      </c>
      <c r="I34" s="7">
        <f t="shared" si="14"/>
        <v>59</v>
      </c>
      <c r="J34" s="19" t="s">
        <v>137</v>
      </c>
      <c r="K34" s="1">
        <v>1</v>
      </c>
      <c r="L34" s="1">
        <v>2</v>
      </c>
      <c r="M34" s="19" t="s">
        <v>137</v>
      </c>
      <c r="N34" s="19" t="s">
        <v>137</v>
      </c>
      <c r="O34" s="1">
        <v>1</v>
      </c>
      <c r="P34" s="1">
        <v>4</v>
      </c>
      <c r="Q34" s="1">
        <v>5</v>
      </c>
      <c r="R34" s="1">
        <v>35</v>
      </c>
      <c r="S34" s="1">
        <f>1</f>
        <v>1</v>
      </c>
      <c r="T34" s="1">
        <f>18</f>
        <v>18</v>
      </c>
      <c r="U34" s="19" t="s">
        <v>137</v>
      </c>
      <c r="V34" s="19" t="s">
        <v>137</v>
      </c>
      <c r="W34" s="19" t="s">
        <v>137</v>
      </c>
      <c r="X34" s="19" t="s">
        <v>137</v>
      </c>
      <c r="Y34" s="19" t="s">
        <v>137</v>
      </c>
      <c r="Z34" s="19" t="s">
        <v>137</v>
      </c>
      <c r="AA34" s="19" t="s">
        <v>137</v>
      </c>
      <c r="AB34" s="19" t="s">
        <v>137</v>
      </c>
      <c r="AC34" s="19" t="s">
        <v>137</v>
      </c>
    </row>
    <row r="35" spans="6:29" ht="15" customHeight="1">
      <c r="F35" s="21"/>
      <c r="H35" s="18"/>
      <c r="I35" s="7"/>
      <c r="J35" s="22"/>
      <c r="U35" s="19"/>
      <c r="V35" s="19"/>
      <c r="W35" s="19"/>
      <c r="X35" s="19"/>
      <c r="Y35" s="19"/>
      <c r="Z35" s="19"/>
      <c r="AA35" s="19"/>
      <c r="AB35" s="19"/>
      <c r="AC35" s="19"/>
    </row>
    <row r="36" spans="4:29" ht="15" customHeight="1">
      <c r="D36" s="1" t="s">
        <v>113</v>
      </c>
      <c r="E36" s="42" t="s">
        <v>112</v>
      </c>
      <c r="F36" s="42"/>
      <c r="H36" s="18">
        <f t="shared" si="9"/>
        <v>43</v>
      </c>
      <c r="I36" s="7">
        <f aca="true" t="shared" si="15" ref="I36:I45">SUM(J36,L36,N36,P36,R36,T36,V36,X36,Z36,AB36)</f>
        <v>948</v>
      </c>
      <c r="J36" s="1">
        <v>2</v>
      </c>
      <c r="K36" s="1">
        <v>5</v>
      </c>
      <c r="L36" s="1">
        <v>10</v>
      </c>
      <c r="M36" s="1">
        <v>3</v>
      </c>
      <c r="N36" s="1">
        <v>9</v>
      </c>
      <c r="O36" s="1">
        <v>1</v>
      </c>
      <c r="P36" s="1">
        <v>4</v>
      </c>
      <c r="Q36" s="1">
        <v>8</v>
      </c>
      <c r="R36" s="1">
        <v>52</v>
      </c>
      <c r="S36" s="1">
        <f>8+9</f>
        <v>17</v>
      </c>
      <c r="T36" s="1">
        <f>115+202</f>
        <v>317</v>
      </c>
      <c r="U36" s="1">
        <v>5</v>
      </c>
      <c r="V36" s="1">
        <v>182</v>
      </c>
      <c r="W36" s="19" t="s">
        <v>137</v>
      </c>
      <c r="X36" s="19" t="s">
        <v>137</v>
      </c>
      <c r="Y36" s="1">
        <v>2</v>
      </c>
      <c r="Z36" s="1">
        <v>372</v>
      </c>
      <c r="AA36" s="19" t="s">
        <v>137</v>
      </c>
      <c r="AB36" s="19" t="s">
        <v>137</v>
      </c>
      <c r="AC36" s="19" t="s">
        <v>137</v>
      </c>
    </row>
    <row r="37" spans="5:29" ht="15" customHeight="1">
      <c r="E37" s="42" t="s">
        <v>25</v>
      </c>
      <c r="F37" s="42"/>
      <c r="H37" s="18">
        <f t="shared" si="9"/>
        <v>12</v>
      </c>
      <c r="I37" s="7">
        <f t="shared" si="15"/>
        <v>101</v>
      </c>
      <c r="J37" s="19" t="s">
        <v>137</v>
      </c>
      <c r="K37" s="19">
        <v>1</v>
      </c>
      <c r="L37" s="19">
        <v>2</v>
      </c>
      <c r="M37" s="1">
        <v>1</v>
      </c>
      <c r="N37" s="1">
        <v>3</v>
      </c>
      <c r="O37" s="19" t="s">
        <v>137</v>
      </c>
      <c r="P37" s="19" t="s">
        <v>137</v>
      </c>
      <c r="Q37" s="19">
        <v>6</v>
      </c>
      <c r="R37" s="19">
        <v>48</v>
      </c>
      <c r="S37" s="1">
        <f>4</f>
        <v>4</v>
      </c>
      <c r="T37" s="1">
        <v>48</v>
      </c>
      <c r="U37" s="19" t="s">
        <v>137</v>
      </c>
      <c r="V37" s="19" t="s">
        <v>137</v>
      </c>
      <c r="W37" s="19" t="s">
        <v>137</v>
      </c>
      <c r="X37" s="19" t="s">
        <v>137</v>
      </c>
      <c r="Y37" s="19" t="s">
        <v>137</v>
      </c>
      <c r="Z37" s="19" t="s">
        <v>137</v>
      </c>
      <c r="AA37" s="19" t="s">
        <v>137</v>
      </c>
      <c r="AB37" s="19" t="s">
        <v>137</v>
      </c>
      <c r="AC37" s="19" t="s">
        <v>137</v>
      </c>
    </row>
    <row r="38" spans="5:29" ht="15" customHeight="1">
      <c r="E38" s="42" t="s">
        <v>26</v>
      </c>
      <c r="F38" s="42"/>
      <c r="H38" s="18">
        <f t="shared" si="9"/>
        <v>7</v>
      </c>
      <c r="I38" s="7">
        <f t="shared" si="15"/>
        <v>75</v>
      </c>
      <c r="J38" s="19">
        <v>2</v>
      </c>
      <c r="K38" s="1">
        <v>1</v>
      </c>
      <c r="L38" s="1">
        <v>2</v>
      </c>
      <c r="M38" s="22">
        <v>1</v>
      </c>
      <c r="N38" s="22">
        <v>3</v>
      </c>
      <c r="O38" s="19" t="s">
        <v>137</v>
      </c>
      <c r="P38" s="19" t="s">
        <v>137</v>
      </c>
      <c r="Q38" s="1">
        <v>1</v>
      </c>
      <c r="R38" s="1">
        <v>7</v>
      </c>
      <c r="S38" s="19">
        <v>1</v>
      </c>
      <c r="T38" s="1">
        <v>16</v>
      </c>
      <c r="U38" s="1">
        <v>1</v>
      </c>
      <c r="V38" s="1">
        <v>45</v>
      </c>
      <c r="W38" s="19" t="s">
        <v>137</v>
      </c>
      <c r="X38" s="19" t="s">
        <v>137</v>
      </c>
      <c r="Y38" s="19" t="s">
        <v>137</v>
      </c>
      <c r="Z38" s="19" t="s">
        <v>137</v>
      </c>
      <c r="AA38" s="19" t="s">
        <v>137</v>
      </c>
      <c r="AB38" s="19" t="s">
        <v>137</v>
      </c>
      <c r="AC38" s="19" t="s">
        <v>137</v>
      </c>
    </row>
    <row r="39" spans="5:29" ht="15" customHeight="1">
      <c r="E39" s="42" t="s">
        <v>27</v>
      </c>
      <c r="F39" s="42"/>
      <c r="H39" s="18">
        <f t="shared" si="9"/>
        <v>769</v>
      </c>
      <c r="I39" s="7">
        <f t="shared" si="15"/>
        <v>6336</v>
      </c>
      <c r="J39" s="1">
        <v>90</v>
      </c>
      <c r="K39" s="1">
        <v>233</v>
      </c>
      <c r="L39" s="1">
        <v>466</v>
      </c>
      <c r="M39" s="1">
        <v>87</v>
      </c>
      <c r="N39" s="1">
        <v>261</v>
      </c>
      <c r="O39" s="1">
        <v>53</v>
      </c>
      <c r="P39" s="1">
        <v>212</v>
      </c>
      <c r="Q39" s="1">
        <v>124</v>
      </c>
      <c r="R39" s="1">
        <v>813</v>
      </c>
      <c r="S39" s="1">
        <f>97+47</f>
        <v>144</v>
      </c>
      <c r="T39" s="1">
        <f>1296+1116</f>
        <v>2412</v>
      </c>
      <c r="U39" s="1">
        <v>23</v>
      </c>
      <c r="V39" s="1">
        <v>833</v>
      </c>
      <c r="W39" s="1">
        <v>11</v>
      </c>
      <c r="X39" s="1">
        <v>701</v>
      </c>
      <c r="Y39" s="1">
        <v>4</v>
      </c>
      <c r="Z39" s="1">
        <v>548</v>
      </c>
      <c r="AA39" s="19" t="s">
        <v>137</v>
      </c>
      <c r="AB39" s="19" t="s">
        <v>137</v>
      </c>
      <c r="AC39" s="19" t="s">
        <v>137</v>
      </c>
    </row>
    <row r="40" spans="5:29" ht="15" customHeight="1">
      <c r="E40" s="42" t="s">
        <v>28</v>
      </c>
      <c r="F40" s="42"/>
      <c r="H40" s="18">
        <f t="shared" si="9"/>
        <v>45</v>
      </c>
      <c r="I40" s="7">
        <f t="shared" si="15"/>
        <v>960</v>
      </c>
      <c r="J40" s="1">
        <v>3</v>
      </c>
      <c r="K40" s="1">
        <v>2</v>
      </c>
      <c r="L40" s="1">
        <v>4</v>
      </c>
      <c r="M40" s="19" t="s">
        <v>137</v>
      </c>
      <c r="N40" s="19" t="s">
        <v>137</v>
      </c>
      <c r="O40" s="1">
        <v>4</v>
      </c>
      <c r="P40" s="1">
        <v>16</v>
      </c>
      <c r="Q40" s="1">
        <v>9</v>
      </c>
      <c r="R40" s="1">
        <v>68</v>
      </c>
      <c r="S40" s="1">
        <v>18</v>
      </c>
      <c r="T40" s="1">
        <f>165+161</f>
        <v>326</v>
      </c>
      <c r="U40" s="1">
        <v>5</v>
      </c>
      <c r="V40" s="1">
        <v>178</v>
      </c>
      <c r="W40" s="1">
        <v>3</v>
      </c>
      <c r="X40" s="1">
        <v>239</v>
      </c>
      <c r="Y40" s="19">
        <v>1</v>
      </c>
      <c r="Z40" s="19">
        <v>126</v>
      </c>
      <c r="AA40" s="19" t="s">
        <v>137</v>
      </c>
      <c r="AB40" s="19" t="s">
        <v>137</v>
      </c>
      <c r="AC40" s="19" t="s">
        <v>137</v>
      </c>
    </row>
    <row r="41" spans="5:29" ht="15" customHeight="1">
      <c r="E41" s="42" t="s">
        <v>29</v>
      </c>
      <c r="F41" s="42"/>
      <c r="H41" s="18">
        <f t="shared" si="9"/>
        <v>10</v>
      </c>
      <c r="I41" s="7">
        <f t="shared" si="15"/>
        <v>162</v>
      </c>
      <c r="J41" s="19" t="s">
        <v>137</v>
      </c>
      <c r="K41" s="1">
        <v>3</v>
      </c>
      <c r="L41" s="1">
        <v>6</v>
      </c>
      <c r="M41" s="1">
        <v>1</v>
      </c>
      <c r="N41" s="1">
        <v>3</v>
      </c>
      <c r="O41" s="19">
        <v>1</v>
      </c>
      <c r="P41" s="19">
        <v>4</v>
      </c>
      <c r="Q41" s="1">
        <v>1</v>
      </c>
      <c r="R41" s="1">
        <v>7</v>
      </c>
      <c r="S41" s="1">
        <v>3</v>
      </c>
      <c r="T41" s="1">
        <f>23+24</f>
        <v>47</v>
      </c>
      <c r="U41" s="19" t="s">
        <v>137</v>
      </c>
      <c r="V41" s="19" t="s">
        <v>137</v>
      </c>
      <c r="W41" s="19">
        <v>1</v>
      </c>
      <c r="X41" s="19">
        <v>95</v>
      </c>
      <c r="Y41" s="19" t="s">
        <v>137</v>
      </c>
      <c r="Z41" s="19" t="s">
        <v>137</v>
      </c>
      <c r="AA41" s="19" t="s">
        <v>137</v>
      </c>
      <c r="AB41" s="19" t="s">
        <v>137</v>
      </c>
      <c r="AC41" s="19" t="s">
        <v>137</v>
      </c>
    </row>
    <row r="42" spans="5:29" ht="15" customHeight="1">
      <c r="E42" s="42" t="s">
        <v>30</v>
      </c>
      <c r="F42" s="42"/>
      <c r="H42" s="18">
        <f t="shared" si="9"/>
        <v>387</v>
      </c>
      <c r="I42" s="7">
        <f t="shared" si="15"/>
        <v>3918</v>
      </c>
      <c r="J42" s="1">
        <v>46</v>
      </c>
      <c r="K42" s="1">
        <v>58</v>
      </c>
      <c r="L42" s="1">
        <v>116</v>
      </c>
      <c r="M42" s="1">
        <v>43</v>
      </c>
      <c r="N42" s="1">
        <v>129</v>
      </c>
      <c r="O42" s="1">
        <v>34</v>
      </c>
      <c r="P42" s="1">
        <v>136</v>
      </c>
      <c r="Q42" s="1">
        <v>91</v>
      </c>
      <c r="R42" s="1">
        <v>588</v>
      </c>
      <c r="S42" s="1">
        <v>91</v>
      </c>
      <c r="T42" s="1">
        <f>924+592</f>
        <v>1516</v>
      </c>
      <c r="U42" s="1">
        <v>15</v>
      </c>
      <c r="V42" s="1">
        <v>548</v>
      </c>
      <c r="W42" s="1">
        <v>4</v>
      </c>
      <c r="X42" s="1">
        <v>300</v>
      </c>
      <c r="Y42" s="1">
        <v>4</v>
      </c>
      <c r="Z42" s="1">
        <v>539</v>
      </c>
      <c r="AA42" s="19" t="s">
        <v>137</v>
      </c>
      <c r="AB42" s="19" t="s">
        <v>137</v>
      </c>
      <c r="AC42" s="19">
        <v>1</v>
      </c>
    </row>
    <row r="43" spans="5:29" ht="15" customHeight="1">
      <c r="E43" s="42" t="s">
        <v>31</v>
      </c>
      <c r="F43" s="42"/>
      <c r="H43" s="18">
        <f t="shared" si="9"/>
        <v>185</v>
      </c>
      <c r="I43" s="7">
        <f t="shared" si="15"/>
        <v>9462</v>
      </c>
      <c r="J43" s="1">
        <v>11</v>
      </c>
      <c r="K43" s="1">
        <v>26</v>
      </c>
      <c r="L43" s="1">
        <v>52</v>
      </c>
      <c r="M43" s="1">
        <v>16</v>
      </c>
      <c r="N43" s="1">
        <v>48</v>
      </c>
      <c r="O43" s="1">
        <v>4</v>
      </c>
      <c r="P43" s="1">
        <v>16</v>
      </c>
      <c r="Q43" s="1">
        <v>40</v>
      </c>
      <c r="R43" s="1">
        <v>271</v>
      </c>
      <c r="S43" s="1">
        <v>56</v>
      </c>
      <c r="T43" s="1">
        <f>584+346</f>
        <v>930</v>
      </c>
      <c r="U43" s="1">
        <v>13</v>
      </c>
      <c r="V43" s="1">
        <v>490</v>
      </c>
      <c r="W43" s="1">
        <v>8</v>
      </c>
      <c r="X43" s="1">
        <v>607</v>
      </c>
      <c r="Y43" s="1">
        <v>10</v>
      </c>
      <c r="Z43" s="1">
        <f>707+958</f>
        <v>1665</v>
      </c>
      <c r="AA43" s="1">
        <v>1</v>
      </c>
      <c r="AB43" s="1">
        <v>5372</v>
      </c>
      <c r="AC43" s="19" t="s">
        <v>137</v>
      </c>
    </row>
    <row r="44" spans="5:29" ht="15" customHeight="1">
      <c r="E44" s="42" t="s">
        <v>32</v>
      </c>
      <c r="F44" s="42"/>
      <c r="H44" s="18">
        <f t="shared" si="9"/>
        <v>109</v>
      </c>
      <c r="I44" s="7">
        <f>SUM(J44,L44,N44,P44,R44,T44,V44,X44,Z44,AB44)</f>
        <v>9562</v>
      </c>
      <c r="J44" s="1">
        <v>2</v>
      </c>
      <c r="K44" s="1">
        <v>3</v>
      </c>
      <c r="L44" s="1">
        <v>6</v>
      </c>
      <c r="M44" s="1">
        <v>10</v>
      </c>
      <c r="N44" s="1">
        <v>30</v>
      </c>
      <c r="O44" s="1">
        <v>5</v>
      </c>
      <c r="P44" s="1">
        <v>20</v>
      </c>
      <c r="Q44" s="1">
        <v>23</v>
      </c>
      <c r="R44" s="1">
        <v>169</v>
      </c>
      <c r="S44" s="1">
        <v>26</v>
      </c>
      <c r="T44" s="1">
        <f>238+214</f>
        <v>452</v>
      </c>
      <c r="U44" s="1">
        <v>9</v>
      </c>
      <c r="V44" s="1">
        <v>331</v>
      </c>
      <c r="W44" s="1">
        <v>12</v>
      </c>
      <c r="X44" s="1">
        <v>757</v>
      </c>
      <c r="Y44" s="1">
        <v>13</v>
      </c>
      <c r="Z44" s="1">
        <f>1400+739</f>
        <v>2139</v>
      </c>
      <c r="AA44" s="1">
        <v>6</v>
      </c>
      <c r="AB44" s="1">
        <v>5656</v>
      </c>
      <c r="AC44" s="19" t="s">
        <v>137</v>
      </c>
    </row>
    <row r="45" spans="5:29" ht="15" customHeight="1">
      <c r="E45" s="42" t="s">
        <v>33</v>
      </c>
      <c r="F45" s="42"/>
      <c r="H45" s="18">
        <f t="shared" si="9"/>
        <v>278</v>
      </c>
      <c r="I45" s="7">
        <f t="shared" si="15"/>
        <v>8706</v>
      </c>
      <c r="J45" s="1">
        <v>37</v>
      </c>
      <c r="K45" s="1">
        <v>46</v>
      </c>
      <c r="L45" s="1">
        <v>92</v>
      </c>
      <c r="M45" s="1">
        <v>32</v>
      </c>
      <c r="N45" s="1">
        <v>96</v>
      </c>
      <c r="O45" s="1">
        <v>13</v>
      </c>
      <c r="P45" s="1">
        <v>52</v>
      </c>
      <c r="Q45" s="1">
        <v>54</v>
      </c>
      <c r="R45" s="1">
        <v>364</v>
      </c>
      <c r="S45" s="1">
        <v>52</v>
      </c>
      <c r="T45" s="1">
        <f>532+366</f>
        <v>898</v>
      </c>
      <c r="U45" s="1">
        <v>21</v>
      </c>
      <c r="V45" s="1">
        <v>790</v>
      </c>
      <c r="W45" s="1">
        <v>15</v>
      </c>
      <c r="X45" s="1">
        <v>1036</v>
      </c>
      <c r="Y45" s="1">
        <v>4</v>
      </c>
      <c r="Z45" s="1">
        <v>570</v>
      </c>
      <c r="AA45" s="1">
        <v>4</v>
      </c>
      <c r="AB45" s="1">
        <v>4771</v>
      </c>
      <c r="AC45" s="19" t="s">
        <v>137</v>
      </c>
    </row>
    <row r="46" spans="6:29" ht="15" customHeight="1">
      <c r="F46" s="21"/>
      <c r="H46" s="18"/>
      <c r="I46" s="7"/>
      <c r="AC46" s="19"/>
    </row>
    <row r="47" spans="5:29" ht="15" customHeight="1">
      <c r="E47" s="42" t="s">
        <v>34</v>
      </c>
      <c r="F47" s="42"/>
      <c r="H47" s="18">
        <f t="shared" si="9"/>
        <v>16</v>
      </c>
      <c r="I47" s="7">
        <f>SUM(J47,L47,N47,P47,R47,T47,V47,X47,Z47,AB47)</f>
        <v>407</v>
      </c>
      <c r="J47" s="1">
        <v>2</v>
      </c>
      <c r="K47" s="1">
        <v>1</v>
      </c>
      <c r="L47" s="1">
        <v>2</v>
      </c>
      <c r="M47" s="19">
        <v>1</v>
      </c>
      <c r="N47" s="19">
        <v>3</v>
      </c>
      <c r="O47" s="19">
        <v>1</v>
      </c>
      <c r="P47" s="19">
        <v>4</v>
      </c>
      <c r="Q47" s="1">
        <v>1</v>
      </c>
      <c r="R47" s="1">
        <v>5</v>
      </c>
      <c r="S47" s="1">
        <v>6</v>
      </c>
      <c r="T47" s="1">
        <f>50+52</f>
        <v>102</v>
      </c>
      <c r="U47" s="19">
        <v>1</v>
      </c>
      <c r="V47" s="19">
        <v>35</v>
      </c>
      <c r="W47" s="1">
        <v>2</v>
      </c>
      <c r="X47" s="1">
        <v>140</v>
      </c>
      <c r="Y47" s="19">
        <v>1</v>
      </c>
      <c r="Z47" s="19">
        <v>114</v>
      </c>
      <c r="AA47" s="19" t="s">
        <v>137</v>
      </c>
      <c r="AB47" s="19" t="s">
        <v>137</v>
      </c>
      <c r="AC47" s="19" t="s">
        <v>137</v>
      </c>
    </row>
    <row r="48" spans="5:29" ht="15" customHeight="1">
      <c r="E48" s="42" t="s">
        <v>35</v>
      </c>
      <c r="F48" s="42"/>
      <c r="H48" s="18">
        <f t="shared" si="9"/>
        <v>1</v>
      </c>
      <c r="I48" s="7">
        <f>SUM(J48,L48,N48,P48,R48,T48,V48,X48,Z48,AB48)</f>
        <v>132</v>
      </c>
      <c r="J48" s="19" t="s">
        <v>137</v>
      </c>
      <c r="K48" s="19" t="s">
        <v>137</v>
      </c>
      <c r="L48" s="19" t="s">
        <v>137</v>
      </c>
      <c r="M48" s="19" t="s">
        <v>137</v>
      </c>
      <c r="N48" s="19" t="s">
        <v>137</v>
      </c>
      <c r="O48" s="19" t="s">
        <v>137</v>
      </c>
      <c r="P48" s="19" t="s">
        <v>137</v>
      </c>
      <c r="Q48" s="19" t="s">
        <v>137</v>
      </c>
      <c r="R48" s="19" t="s">
        <v>137</v>
      </c>
      <c r="S48" s="19" t="s">
        <v>137</v>
      </c>
      <c r="T48" s="19" t="s">
        <v>137</v>
      </c>
      <c r="U48" s="19" t="s">
        <v>137</v>
      </c>
      <c r="V48" s="19" t="s">
        <v>137</v>
      </c>
      <c r="W48" s="19" t="s">
        <v>137</v>
      </c>
      <c r="X48" s="19" t="s">
        <v>137</v>
      </c>
      <c r="Y48" s="19">
        <v>1</v>
      </c>
      <c r="Z48" s="19">
        <v>132</v>
      </c>
      <c r="AA48" s="19" t="s">
        <v>137</v>
      </c>
      <c r="AB48" s="19" t="s">
        <v>137</v>
      </c>
      <c r="AC48" s="19" t="s">
        <v>137</v>
      </c>
    </row>
    <row r="49" spans="2:29" ht="15" customHeight="1">
      <c r="B49" s="7"/>
      <c r="C49" s="7"/>
      <c r="D49" s="7"/>
      <c r="E49" s="45" t="s">
        <v>36</v>
      </c>
      <c r="F49" s="45"/>
      <c r="H49" s="18">
        <f t="shared" si="9"/>
        <v>214</v>
      </c>
      <c r="I49" s="7">
        <f>SUM(J49,L49,N49,P49,R49,T49,V49,X49,Z49,AB49)</f>
        <v>995</v>
      </c>
      <c r="J49" s="1">
        <v>35</v>
      </c>
      <c r="K49" s="19">
        <v>67</v>
      </c>
      <c r="L49" s="19">
        <v>134</v>
      </c>
      <c r="M49" s="19">
        <v>27</v>
      </c>
      <c r="N49" s="19">
        <v>81</v>
      </c>
      <c r="O49" s="1">
        <v>19</v>
      </c>
      <c r="P49" s="1">
        <v>76</v>
      </c>
      <c r="Q49" s="1">
        <v>44</v>
      </c>
      <c r="R49" s="1">
        <v>263</v>
      </c>
      <c r="S49" s="1">
        <v>18</v>
      </c>
      <c r="T49" s="1">
        <f>208+46</f>
        <v>254</v>
      </c>
      <c r="U49" s="1">
        <v>4</v>
      </c>
      <c r="V49" s="1">
        <v>152</v>
      </c>
      <c r="W49" s="19" t="s">
        <v>137</v>
      </c>
      <c r="X49" s="19" t="s">
        <v>137</v>
      </c>
      <c r="Y49" s="19" t="s">
        <v>137</v>
      </c>
      <c r="Z49" s="19" t="s">
        <v>137</v>
      </c>
      <c r="AA49" s="19" t="s">
        <v>137</v>
      </c>
      <c r="AB49" s="19" t="s">
        <v>137</v>
      </c>
      <c r="AC49" s="19" t="s">
        <v>137</v>
      </c>
    </row>
    <row r="50" spans="2:29" ht="15" customHeight="1">
      <c r="B50" s="7"/>
      <c r="C50" s="7"/>
      <c r="D50" s="7"/>
      <c r="E50" s="7"/>
      <c r="F50" s="23"/>
      <c r="H50" s="18"/>
      <c r="I50" s="7"/>
      <c r="W50" s="19"/>
      <c r="X50" s="19"/>
      <c r="Y50" s="19"/>
      <c r="Z50" s="19"/>
      <c r="AA50" s="19"/>
      <c r="AB50" s="19"/>
      <c r="AC50" s="19"/>
    </row>
    <row r="51" spans="2:29" ht="15" customHeight="1">
      <c r="B51" s="17"/>
      <c r="C51" s="42" t="s">
        <v>106</v>
      </c>
      <c r="D51" s="42"/>
      <c r="E51" s="42"/>
      <c r="F51" s="42"/>
      <c r="H51" s="18">
        <f t="shared" si="9"/>
        <v>59</v>
      </c>
      <c r="I51" s="7">
        <f aca="true" t="shared" si="16" ref="I51:P51">SUM(I52:I55)</f>
        <v>2286</v>
      </c>
      <c r="J51" s="7">
        <f t="shared" si="16"/>
        <v>5</v>
      </c>
      <c r="K51" s="7">
        <f t="shared" si="16"/>
        <v>4</v>
      </c>
      <c r="L51" s="7">
        <f t="shared" si="16"/>
        <v>8</v>
      </c>
      <c r="M51" s="7">
        <f t="shared" si="16"/>
        <v>1</v>
      </c>
      <c r="N51" s="7">
        <f>SUM(N52:N55)</f>
        <v>3</v>
      </c>
      <c r="O51" s="7">
        <f t="shared" si="16"/>
        <v>2</v>
      </c>
      <c r="P51" s="7">
        <f t="shared" si="16"/>
        <v>8</v>
      </c>
      <c r="Q51" s="7">
        <f aca="true" t="shared" si="17" ref="Q51:Z51">SUM(Q52:Q55)</f>
        <v>10</v>
      </c>
      <c r="R51" s="7">
        <f t="shared" si="17"/>
        <v>66</v>
      </c>
      <c r="S51" s="7">
        <f t="shared" si="17"/>
        <v>12</v>
      </c>
      <c r="T51" s="7">
        <f t="shared" si="17"/>
        <v>218</v>
      </c>
      <c r="U51" s="7">
        <f t="shared" si="17"/>
        <v>8</v>
      </c>
      <c r="V51" s="7">
        <f t="shared" si="17"/>
        <v>295</v>
      </c>
      <c r="W51" s="7">
        <f t="shared" si="17"/>
        <v>11</v>
      </c>
      <c r="X51" s="7">
        <f t="shared" si="17"/>
        <v>843</v>
      </c>
      <c r="Y51" s="7">
        <f t="shared" si="17"/>
        <v>6</v>
      </c>
      <c r="Z51" s="7">
        <f t="shared" si="17"/>
        <v>840</v>
      </c>
      <c r="AA51" s="20" t="s">
        <v>6</v>
      </c>
      <c r="AB51" s="20" t="s">
        <v>6</v>
      </c>
      <c r="AC51" s="20" t="s">
        <v>137</v>
      </c>
    </row>
    <row r="52" spans="3:29" ht="15" customHeight="1">
      <c r="C52" s="17"/>
      <c r="D52" s="17"/>
      <c r="E52" s="42" t="s">
        <v>37</v>
      </c>
      <c r="F52" s="42"/>
      <c r="H52" s="18">
        <f t="shared" si="9"/>
        <v>31</v>
      </c>
      <c r="I52" s="7">
        <f>SUM(J52,L52,N52,P52,R52,T52,V52,X52,Z52,AB52)</f>
        <v>1662</v>
      </c>
      <c r="J52" s="19">
        <v>1</v>
      </c>
      <c r="K52" s="19">
        <v>2</v>
      </c>
      <c r="L52" s="19">
        <v>4</v>
      </c>
      <c r="M52" s="1">
        <v>1</v>
      </c>
      <c r="N52" s="1">
        <v>3</v>
      </c>
      <c r="O52" s="19" t="s">
        <v>137</v>
      </c>
      <c r="P52" s="19" t="s">
        <v>137</v>
      </c>
      <c r="Q52" s="1">
        <v>4</v>
      </c>
      <c r="R52" s="1">
        <v>25</v>
      </c>
      <c r="S52" s="1">
        <v>6</v>
      </c>
      <c r="T52" s="1">
        <f>44+80</f>
        <v>124</v>
      </c>
      <c r="U52" s="1">
        <v>4</v>
      </c>
      <c r="V52" s="1">
        <v>146</v>
      </c>
      <c r="W52" s="1">
        <v>8</v>
      </c>
      <c r="X52" s="1">
        <v>624</v>
      </c>
      <c r="Y52" s="1">
        <v>5</v>
      </c>
      <c r="Z52" s="1">
        <f>510+225</f>
        <v>735</v>
      </c>
      <c r="AA52" s="19" t="s">
        <v>137</v>
      </c>
      <c r="AB52" s="19" t="s">
        <v>137</v>
      </c>
      <c r="AC52" s="19" t="s">
        <v>137</v>
      </c>
    </row>
    <row r="53" spans="3:29" ht="15" customHeight="1">
      <c r="C53" s="17"/>
      <c r="D53" s="17"/>
      <c r="E53" s="42" t="s">
        <v>38</v>
      </c>
      <c r="F53" s="42"/>
      <c r="H53" s="18">
        <f t="shared" si="9"/>
        <v>16</v>
      </c>
      <c r="I53" s="7">
        <f>SUM(J53,L53,N53,P53,R53,T53,V53,X53,Z53,AB53)</f>
        <v>539</v>
      </c>
      <c r="J53" s="19">
        <v>1</v>
      </c>
      <c r="K53" s="19">
        <v>2</v>
      </c>
      <c r="L53" s="19">
        <v>4</v>
      </c>
      <c r="M53" s="19" t="s">
        <v>137</v>
      </c>
      <c r="N53" s="19" t="s">
        <v>137</v>
      </c>
      <c r="O53" s="19">
        <v>1</v>
      </c>
      <c r="P53" s="19">
        <v>4</v>
      </c>
      <c r="Q53" s="1">
        <v>1</v>
      </c>
      <c r="R53" s="1">
        <v>9</v>
      </c>
      <c r="S53" s="1">
        <v>3</v>
      </c>
      <c r="T53" s="1">
        <f>48</f>
        <v>48</v>
      </c>
      <c r="U53" s="1">
        <v>4</v>
      </c>
      <c r="V53" s="1">
        <v>149</v>
      </c>
      <c r="W53" s="19">
        <v>3</v>
      </c>
      <c r="X53" s="19">
        <v>219</v>
      </c>
      <c r="Y53" s="1">
        <v>1</v>
      </c>
      <c r="Z53" s="1">
        <v>105</v>
      </c>
      <c r="AA53" s="19" t="s">
        <v>137</v>
      </c>
      <c r="AB53" s="19" t="s">
        <v>137</v>
      </c>
      <c r="AC53" s="19" t="s">
        <v>137</v>
      </c>
    </row>
    <row r="54" spans="3:29" ht="15" customHeight="1">
      <c r="C54" s="17"/>
      <c r="D54" s="17"/>
      <c r="E54" s="42" t="s">
        <v>39</v>
      </c>
      <c r="F54" s="42"/>
      <c r="H54" s="18">
        <f t="shared" si="9"/>
        <v>1</v>
      </c>
      <c r="I54" s="7">
        <f>SUM(J54,L54,N54,P54,R54,T54,V54,X54,Z54,AB54)</f>
        <v>12</v>
      </c>
      <c r="J54" s="19" t="s">
        <v>137</v>
      </c>
      <c r="K54" s="19" t="s">
        <v>137</v>
      </c>
      <c r="L54" s="19" t="s">
        <v>137</v>
      </c>
      <c r="M54" s="19" t="s">
        <v>137</v>
      </c>
      <c r="N54" s="19" t="s">
        <v>137</v>
      </c>
      <c r="O54" s="19" t="s">
        <v>137</v>
      </c>
      <c r="P54" s="19" t="s">
        <v>137</v>
      </c>
      <c r="Q54" s="19" t="s">
        <v>137</v>
      </c>
      <c r="R54" s="19" t="s">
        <v>137</v>
      </c>
      <c r="S54" s="19">
        <v>1</v>
      </c>
      <c r="T54" s="19">
        <v>12</v>
      </c>
      <c r="U54" s="19" t="s">
        <v>137</v>
      </c>
      <c r="V54" s="19" t="s">
        <v>137</v>
      </c>
      <c r="W54" s="19" t="s">
        <v>137</v>
      </c>
      <c r="X54" s="19" t="s">
        <v>137</v>
      </c>
      <c r="Y54" s="19" t="s">
        <v>137</v>
      </c>
      <c r="Z54" s="19" t="s">
        <v>137</v>
      </c>
      <c r="AA54" s="19" t="s">
        <v>137</v>
      </c>
      <c r="AB54" s="19" t="s">
        <v>137</v>
      </c>
      <c r="AC54" s="19" t="s">
        <v>137</v>
      </c>
    </row>
    <row r="55" spans="3:29" ht="15" customHeight="1">
      <c r="C55" s="17"/>
      <c r="D55" s="17"/>
      <c r="E55" s="42" t="s">
        <v>40</v>
      </c>
      <c r="F55" s="42"/>
      <c r="H55" s="18">
        <f t="shared" si="9"/>
        <v>11</v>
      </c>
      <c r="I55" s="7">
        <f>SUM(J55,L55,N55,P55,R55,T55,V55,X55,Z55,AB55)</f>
        <v>73</v>
      </c>
      <c r="J55" s="19">
        <v>3</v>
      </c>
      <c r="K55" s="19" t="s">
        <v>137</v>
      </c>
      <c r="L55" s="19" t="s">
        <v>137</v>
      </c>
      <c r="M55" s="19" t="s">
        <v>137</v>
      </c>
      <c r="N55" s="19" t="s">
        <v>137</v>
      </c>
      <c r="O55" s="19">
        <v>1</v>
      </c>
      <c r="P55" s="19">
        <v>4</v>
      </c>
      <c r="Q55" s="19">
        <v>5</v>
      </c>
      <c r="R55" s="19">
        <v>32</v>
      </c>
      <c r="S55" s="1">
        <v>2</v>
      </c>
      <c r="T55" s="1">
        <f>11+23</f>
        <v>34</v>
      </c>
      <c r="U55" s="19" t="s">
        <v>137</v>
      </c>
      <c r="V55" s="19" t="s">
        <v>137</v>
      </c>
      <c r="W55" s="19" t="s">
        <v>137</v>
      </c>
      <c r="X55" s="19" t="s">
        <v>137</v>
      </c>
      <c r="Y55" s="19" t="s">
        <v>137</v>
      </c>
      <c r="Z55" s="19" t="s">
        <v>137</v>
      </c>
      <c r="AA55" s="19" t="s">
        <v>137</v>
      </c>
      <c r="AB55" s="19" t="s">
        <v>137</v>
      </c>
      <c r="AC55" s="19" t="s">
        <v>137</v>
      </c>
    </row>
    <row r="56" spans="3:29" ht="15" customHeight="1">
      <c r="C56" s="17"/>
      <c r="D56" s="17"/>
      <c r="E56" s="17"/>
      <c r="F56" s="21"/>
      <c r="H56" s="18"/>
      <c r="I56" s="7"/>
      <c r="J56" s="19"/>
      <c r="K56" s="19"/>
      <c r="L56" s="19"/>
      <c r="M56" s="19"/>
      <c r="N56" s="19"/>
      <c r="O56" s="19"/>
      <c r="P56" s="19"/>
      <c r="Q56" s="19"/>
      <c r="R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3:29" ht="15" customHeight="1">
      <c r="C57" s="42" t="s">
        <v>102</v>
      </c>
      <c r="D57" s="42"/>
      <c r="E57" s="42"/>
      <c r="F57" s="42"/>
      <c r="H57" s="18">
        <f t="shared" si="9"/>
        <v>1945</v>
      </c>
      <c r="I57" s="7">
        <f>SUM(I58:I62,'運輸通信業～サービス業'!I5:I8)</f>
        <v>30524</v>
      </c>
      <c r="J57" s="7">
        <f>SUM(J58:J62,'運輸通信業～サービス業'!J5:J8)</f>
        <v>376</v>
      </c>
      <c r="K57" s="7">
        <f>SUM(K58:K62,'運輸通信業～サービス業'!K5:K8)</f>
        <v>248</v>
      </c>
      <c r="L57" s="7">
        <f>SUM(L58:L62,'運輸通信業～サービス業'!L5:L8)</f>
        <v>496</v>
      </c>
      <c r="M57" s="7">
        <f>SUM(M58:M62,'運輸通信業～サービス業'!M5:M8)</f>
        <v>181</v>
      </c>
      <c r="N57" s="7">
        <f>SUM(N58:N62,'運輸通信業～サービス業'!N5:N8)</f>
        <v>543</v>
      </c>
      <c r="O57" s="7">
        <f>SUM(O58:O62,'運輸通信業～サービス業'!O5:O8)</f>
        <v>115</v>
      </c>
      <c r="P57" s="7">
        <f>SUM(P58:P62,'運輸通信業～サービス業'!P5:P8)</f>
        <v>460</v>
      </c>
      <c r="Q57" s="7">
        <f>SUM(Q58:Q62,'運輸通信業～サービス業'!Q5:Q8)</f>
        <v>333</v>
      </c>
      <c r="R57" s="7">
        <f>SUM(R58:R62,'運輸通信業～サービス業'!R5:R8)</f>
        <v>2220</v>
      </c>
      <c r="S57" s="7">
        <f>SUM(S58:S62,'運輸通信業～サービス業'!S5:S8)</f>
        <v>430</v>
      </c>
      <c r="T57" s="7">
        <f>SUM(T58:T62,'運輸通信業～サービス業'!T5:T8)</f>
        <v>7351</v>
      </c>
      <c r="U57" s="7">
        <f>SUM(U58:U62,'運輸通信業～サービス業'!U5:U8)</f>
        <v>113</v>
      </c>
      <c r="V57" s="7">
        <f>SUM(V58:V62,'運輸通信業～サービス業'!V5:V8)</f>
        <v>4212</v>
      </c>
      <c r="W57" s="7">
        <f>SUM(W58:W62,'運輸通信業～サービス業'!W5:W8)</f>
        <v>105</v>
      </c>
      <c r="X57" s="7">
        <f>SUM(X58:X62,'運輸通信業～サービス業'!X5:X8)</f>
        <v>7035</v>
      </c>
      <c r="Y57" s="7">
        <f>SUM(Y58:Y62,'運輸通信業～サービス業'!Y5:Y8)</f>
        <v>37</v>
      </c>
      <c r="Z57" s="7">
        <f>SUM(Z58:Z62,'運輸通信業～サービス業'!Z5:Z8)</f>
        <v>5432</v>
      </c>
      <c r="AA57" s="7">
        <f>SUM(AA58:AA62,'運輸通信業～サービス業'!AA5:AA8)</f>
        <v>6</v>
      </c>
      <c r="AB57" s="7">
        <f>SUM(AB58:AB62,'運輸通信業～サービス業'!AB5:AB8)</f>
        <v>2399</v>
      </c>
      <c r="AC57" s="7">
        <f>SUM(AC58:AC62,'運輸通信業～サービス業'!AC5:AC8)</f>
        <v>1</v>
      </c>
    </row>
    <row r="58" spans="5:29" ht="15" customHeight="1">
      <c r="E58" s="42" t="s">
        <v>41</v>
      </c>
      <c r="F58" s="42"/>
      <c r="H58" s="18">
        <f t="shared" si="9"/>
        <v>39</v>
      </c>
      <c r="I58" s="7">
        <f>SUM(J58,L58,N58,P58,R58,T58,V58,X58,Z58,AB58)</f>
        <v>969</v>
      </c>
      <c r="J58" s="1">
        <v>6</v>
      </c>
      <c r="K58" s="19">
        <v>2</v>
      </c>
      <c r="L58" s="19">
        <v>4</v>
      </c>
      <c r="M58" s="1">
        <v>2</v>
      </c>
      <c r="N58" s="1">
        <v>6</v>
      </c>
      <c r="O58" s="1">
        <v>5</v>
      </c>
      <c r="P58" s="1">
        <v>20</v>
      </c>
      <c r="Q58" s="1">
        <v>5</v>
      </c>
      <c r="R58" s="1">
        <v>30</v>
      </c>
      <c r="S58" s="1">
        <v>8</v>
      </c>
      <c r="T58" s="1">
        <f>82+66</f>
        <v>148</v>
      </c>
      <c r="U58" s="1">
        <v>6</v>
      </c>
      <c r="V58" s="1">
        <v>228</v>
      </c>
      <c r="W58" s="1">
        <v>3</v>
      </c>
      <c r="X58" s="1">
        <v>219</v>
      </c>
      <c r="Y58" s="1">
        <v>2</v>
      </c>
      <c r="Z58" s="1">
        <v>308</v>
      </c>
      <c r="AA58" s="19" t="s">
        <v>137</v>
      </c>
      <c r="AB58" s="19" t="s">
        <v>137</v>
      </c>
      <c r="AC58" s="19" t="s">
        <v>137</v>
      </c>
    </row>
    <row r="59" spans="5:29" ht="15" customHeight="1">
      <c r="E59" s="42" t="s">
        <v>42</v>
      </c>
      <c r="F59" s="42"/>
      <c r="H59" s="18">
        <f t="shared" si="9"/>
        <v>444</v>
      </c>
      <c r="I59" s="7">
        <f>SUM(J59,L59,N59,P59,R59,T59,V59,X59,Z59,AB59)</f>
        <v>9249</v>
      </c>
      <c r="J59" s="1">
        <v>185</v>
      </c>
      <c r="K59" s="1">
        <v>31</v>
      </c>
      <c r="L59" s="1">
        <v>62</v>
      </c>
      <c r="M59" s="1">
        <v>13</v>
      </c>
      <c r="N59" s="1">
        <v>39</v>
      </c>
      <c r="O59" s="1">
        <v>12</v>
      </c>
      <c r="P59" s="1">
        <v>48</v>
      </c>
      <c r="Q59" s="1">
        <v>44</v>
      </c>
      <c r="R59" s="1">
        <v>307</v>
      </c>
      <c r="S59" s="1">
        <v>62</v>
      </c>
      <c r="T59" s="1">
        <f>525+506</f>
        <v>1031</v>
      </c>
      <c r="U59" s="1">
        <v>27</v>
      </c>
      <c r="V59" s="1">
        <v>1054</v>
      </c>
      <c r="W59" s="1">
        <v>47</v>
      </c>
      <c r="X59" s="1">
        <v>3367</v>
      </c>
      <c r="Y59" s="1">
        <v>23</v>
      </c>
      <c r="Z59" s="1">
        <f>2710+446</f>
        <v>3156</v>
      </c>
      <c r="AA59" s="19" t="s">
        <v>137</v>
      </c>
      <c r="AB59" s="19" t="s">
        <v>137</v>
      </c>
      <c r="AC59" s="19" t="s">
        <v>137</v>
      </c>
    </row>
    <row r="60" spans="5:29" ht="15" customHeight="1">
      <c r="E60" s="42" t="s">
        <v>43</v>
      </c>
      <c r="F60" s="42"/>
      <c r="H60" s="18">
        <f t="shared" si="9"/>
        <v>682</v>
      </c>
      <c r="I60" s="7">
        <f>SUM(J60,L60,N60,P60,R60,T60,V60,X60,Z60,AB60)</f>
        <v>11690</v>
      </c>
      <c r="J60" s="1">
        <v>92</v>
      </c>
      <c r="K60" s="1">
        <v>68</v>
      </c>
      <c r="L60" s="1">
        <v>136</v>
      </c>
      <c r="M60" s="1">
        <v>47</v>
      </c>
      <c r="N60" s="1">
        <v>141</v>
      </c>
      <c r="O60" s="1">
        <v>28</v>
      </c>
      <c r="P60" s="1">
        <v>112</v>
      </c>
      <c r="Q60" s="1">
        <v>114</v>
      </c>
      <c r="R60" s="1">
        <v>787</v>
      </c>
      <c r="S60" s="1">
        <f>137+87</f>
        <v>224</v>
      </c>
      <c r="T60" s="1">
        <f>1909+2035</f>
        <v>3944</v>
      </c>
      <c r="U60" s="1">
        <v>57</v>
      </c>
      <c r="V60" s="1">
        <v>2050</v>
      </c>
      <c r="W60" s="1">
        <v>44</v>
      </c>
      <c r="X60" s="1">
        <v>2773</v>
      </c>
      <c r="Y60" s="1">
        <v>7</v>
      </c>
      <c r="Z60" s="1">
        <f>681+492</f>
        <v>1173</v>
      </c>
      <c r="AA60" s="1">
        <v>1</v>
      </c>
      <c r="AB60" s="1">
        <v>482</v>
      </c>
      <c r="AC60" s="19" t="s">
        <v>137</v>
      </c>
    </row>
    <row r="61" spans="5:29" ht="15" customHeight="1">
      <c r="E61" s="42" t="s">
        <v>44</v>
      </c>
      <c r="F61" s="42"/>
      <c r="H61" s="18">
        <f t="shared" si="9"/>
        <v>197</v>
      </c>
      <c r="I61" s="7">
        <f>SUM(J61,L61,N61,P61,R61,T61,V61,X61,Z61,AB61)</f>
        <v>2117</v>
      </c>
      <c r="J61" s="1">
        <v>15</v>
      </c>
      <c r="K61" s="1">
        <v>10</v>
      </c>
      <c r="L61" s="1">
        <v>20</v>
      </c>
      <c r="M61" s="1">
        <v>20</v>
      </c>
      <c r="N61" s="1">
        <v>60</v>
      </c>
      <c r="O61" s="1">
        <v>34</v>
      </c>
      <c r="P61" s="1">
        <v>136</v>
      </c>
      <c r="Q61" s="1">
        <v>62</v>
      </c>
      <c r="R61" s="1">
        <v>390</v>
      </c>
      <c r="S61" s="1">
        <f>32+15</f>
        <v>47</v>
      </c>
      <c r="T61" s="1">
        <f>447+330</f>
        <v>777</v>
      </c>
      <c r="U61" s="1">
        <v>6</v>
      </c>
      <c r="V61" s="1">
        <v>247</v>
      </c>
      <c r="W61" s="1">
        <v>1</v>
      </c>
      <c r="X61" s="1">
        <v>60</v>
      </c>
      <c r="Y61" s="1">
        <v>2</v>
      </c>
      <c r="Z61" s="1">
        <f>116+296</f>
        <v>412</v>
      </c>
      <c r="AA61" s="19" t="s">
        <v>137</v>
      </c>
      <c r="AB61" s="19" t="s">
        <v>137</v>
      </c>
      <c r="AC61" s="19" t="s">
        <v>137</v>
      </c>
    </row>
    <row r="62" spans="1:29" ht="15" customHeight="1" thickBot="1">
      <c r="A62" s="5"/>
      <c r="B62" s="5"/>
      <c r="C62" s="5"/>
      <c r="D62" s="5"/>
      <c r="E62" s="44" t="s">
        <v>45</v>
      </c>
      <c r="F62" s="44"/>
      <c r="G62" s="5"/>
      <c r="H62" s="24">
        <f t="shared" si="9"/>
        <v>13</v>
      </c>
      <c r="I62" s="5">
        <f>SUM(J62,L62,N62,P62,R62,T62,V62,X62,Z62,AB62)</f>
        <v>197</v>
      </c>
      <c r="J62" s="25" t="s">
        <v>137</v>
      </c>
      <c r="K62" s="25" t="s">
        <v>137</v>
      </c>
      <c r="L62" s="25" t="s">
        <v>137</v>
      </c>
      <c r="M62" s="25">
        <v>1</v>
      </c>
      <c r="N62" s="25">
        <v>3</v>
      </c>
      <c r="O62" s="5">
        <v>4</v>
      </c>
      <c r="P62" s="5">
        <v>16</v>
      </c>
      <c r="Q62" s="5">
        <v>3</v>
      </c>
      <c r="R62" s="5">
        <v>22</v>
      </c>
      <c r="S62" s="5">
        <v>4</v>
      </c>
      <c r="T62" s="5">
        <v>76</v>
      </c>
      <c r="U62" s="25" t="s">
        <v>137</v>
      </c>
      <c r="V62" s="25" t="s">
        <v>137</v>
      </c>
      <c r="W62" s="25">
        <v>1</v>
      </c>
      <c r="X62" s="25">
        <v>80</v>
      </c>
      <c r="Y62" s="25" t="s">
        <v>137</v>
      </c>
      <c r="Z62" s="25" t="s">
        <v>137</v>
      </c>
      <c r="AA62" s="25" t="s">
        <v>137</v>
      </c>
      <c r="AB62" s="25" t="s">
        <v>137</v>
      </c>
      <c r="AC62" s="25" t="s">
        <v>137</v>
      </c>
    </row>
    <row r="63" spans="1:29" ht="15" customHeight="1">
      <c r="A63" s="7"/>
      <c r="B63" s="7" t="s">
        <v>46</v>
      </c>
      <c r="C63" s="7"/>
      <c r="D63" s="7"/>
      <c r="E63" s="7"/>
      <c r="F63" s="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5" ht="14.25" customHeight="1"/>
  </sheetData>
  <mergeCells count="66">
    <mergeCell ref="E52:F52"/>
    <mergeCell ref="E49:F49"/>
    <mergeCell ref="E48:F48"/>
    <mergeCell ref="E47:F47"/>
    <mergeCell ref="E36:F36"/>
    <mergeCell ref="E34:F34"/>
    <mergeCell ref="E62:F62"/>
    <mergeCell ref="E61:F61"/>
    <mergeCell ref="E60:F60"/>
    <mergeCell ref="E59:F59"/>
    <mergeCell ref="E58:F58"/>
    <mergeCell ref="E55:F55"/>
    <mergeCell ref="E54:F54"/>
    <mergeCell ref="E53:F53"/>
    <mergeCell ref="E25:F25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10:F10"/>
    <mergeCell ref="E8:F8"/>
    <mergeCell ref="E33:F33"/>
    <mergeCell ref="E32:F32"/>
    <mergeCell ref="E31:F31"/>
    <mergeCell ref="E30:F30"/>
    <mergeCell ref="E29:F29"/>
    <mergeCell ref="E28:F28"/>
    <mergeCell ref="E27:F27"/>
    <mergeCell ref="E26:F26"/>
    <mergeCell ref="C7:F7"/>
    <mergeCell ref="E23:F23"/>
    <mergeCell ref="E22:F22"/>
    <mergeCell ref="E21:F21"/>
    <mergeCell ref="E19:F19"/>
    <mergeCell ref="E18:F18"/>
    <mergeCell ref="E17:F17"/>
    <mergeCell ref="E16:F16"/>
    <mergeCell ref="E13:F13"/>
    <mergeCell ref="E12:F12"/>
    <mergeCell ref="C5:F5"/>
    <mergeCell ref="B14:F14"/>
    <mergeCell ref="B6:F6"/>
    <mergeCell ref="C57:F57"/>
    <mergeCell ref="C51:F51"/>
    <mergeCell ref="C24:F24"/>
    <mergeCell ref="C20:F20"/>
    <mergeCell ref="C15:F15"/>
    <mergeCell ref="C11:F11"/>
    <mergeCell ref="C9:F9"/>
    <mergeCell ref="U3:V3"/>
    <mergeCell ref="B3:F4"/>
    <mergeCell ref="S3:T3"/>
    <mergeCell ref="Q3:R3"/>
    <mergeCell ref="O3:P3"/>
    <mergeCell ref="M3:N3"/>
    <mergeCell ref="K3:L3"/>
    <mergeCell ref="H3:I3"/>
    <mergeCell ref="AC3:AC4"/>
    <mergeCell ref="AA3:AB3"/>
    <mergeCell ref="Y3:Z3"/>
    <mergeCell ref="W3:X3"/>
  </mergeCells>
  <printOptions/>
  <pageMargins left="0.52" right="0.39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16" max="62" man="1"/>
  </colBreaks>
  <ignoredErrors>
    <ignoredError sqref="T8 I15:I20 H20 H8:H14 I8:I13 H24:I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0"/>
  <sheetViews>
    <sheetView showGridLines="0" zoomScale="75" zoomScaleNormal="75" workbookViewId="0" topLeftCell="B1">
      <selection activeCell="B3" sqref="B3:F4"/>
    </sheetView>
  </sheetViews>
  <sheetFormatPr defaultColWidth="8.625" defaultRowHeight="12.75"/>
  <cols>
    <col min="1" max="1" width="0.875" style="1" hidden="1" customWidth="1"/>
    <col min="2" max="2" width="1.75390625" style="1" customWidth="1"/>
    <col min="3" max="3" width="2.375" style="1" customWidth="1"/>
    <col min="4" max="4" width="2.75390625" style="1" customWidth="1"/>
    <col min="5" max="5" width="3.75390625" style="1" customWidth="1"/>
    <col min="6" max="6" width="31.625" style="1" customWidth="1"/>
    <col min="7" max="7" width="0.875" style="1" customWidth="1"/>
    <col min="8" max="9" width="10.75390625" style="1" customWidth="1"/>
    <col min="10" max="10" width="14.00390625" style="1" customWidth="1"/>
    <col min="11" max="11" width="10.75390625" style="1" customWidth="1"/>
    <col min="12" max="16" width="11.00390625" style="1" customWidth="1"/>
    <col min="17" max="28" width="12.25390625" style="1" customWidth="1"/>
    <col min="29" max="29" width="14.125" style="1" customWidth="1"/>
    <col min="30" max="30" width="5.00390625" style="1" customWidth="1"/>
    <col min="31" max="16384" width="8.625" style="1" customWidth="1"/>
  </cols>
  <sheetData>
    <row r="1" spans="6:25" ht="24">
      <c r="F1" s="2" t="s">
        <v>136</v>
      </c>
      <c r="Q1" s="2" t="s">
        <v>0</v>
      </c>
      <c r="W1" s="2" t="s">
        <v>1</v>
      </c>
      <c r="X1" s="3"/>
      <c r="Y1" s="4" t="s">
        <v>142</v>
      </c>
    </row>
    <row r="2" spans="1:29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2" t="s">
        <v>2</v>
      </c>
      <c r="AB2" s="31"/>
      <c r="AC2" s="28"/>
    </row>
    <row r="3" spans="1:29" ht="15" customHeight="1">
      <c r="A3" s="8"/>
      <c r="B3" s="38" t="s">
        <v>85</v>
      </c>
      <c r="C3" s="38"/>
      <c r="D3" s="38"/>
      <c r="E3" s="39"/>
      <c r="F3" s="39"/>
      <c r="G3" s="8"/>
      <c r="H3" s="35" t="s">
        <v>87</v>
      </c>
      <c r="I3" s="37"/>
      <c r="J3" s="9" t="s">
        <v>3</v>
      </c>
      <c r="K3" s="35" t="s">
        <v>88</v>
      </c>
      <c r="L3" s="37"/>
      <c r="M3" s="35" t="s">
        <v>89</v>
      </c>
      <c r="N3" s="37"/>
      <c r="O3" s="35" t="s">
        <v>90</v>
      </c>
      <c r="P3" s="36"/>
      <c r="Q3" s="36" t="s">
        <v>91</v>
      </c>
      <c r="R3" s="37"/>
      <c r="S3" s="35" t="s">
        <v>92</v>
      </c>
      <c r="T3" s="37"/>
      <c r="U3" s="35" t="s">
        <v>93</v>
      </c>
      <c r="V3" s="37"/>
      <c r="W3" s="35" t="s">
        <v>94</v>
      </c>
      <c r="X3" s="37"/>
      <c r="Y3" s="35" t="s">
        <v>95</v>
      </c>
      <c r="Z3" s="37"/>
      <c r="AA3" s="35" t="s">
        <v>96</v>
      </c>
      <c r="AB3" s="36"/>
      <c r="AC3" s="33" t="s">
        <v>140</v>
      </c>
    </row>
    <row r="4" spans="1:29" ht="30" customHeight="1">
      <c r="A4" s="10"/>
      <c r="B4" s="40"/>
      <c r="C4" s="40"/>
      <c r="D4" s="40"/>
      <c r="E4" s="40"/>
      <c r="F4" s="40"/>
      <c r="G4" s="10"/>
      <c r="H4" s="11" t="s">
        <v>4</v>
      </c>
      <c r="I4" s="11" t="s">
        <v>5</v>
      </c>
      <c r="J4" s="12" t="s">
        <v>86</v>
      </c>
      <c r="K4" s="11" t="s">
        <v>4</v>
      </c>
      <c r="L4" s="11" t="s">
        <v>5</v>
      </c>
      <c r="M4" s="11" t="s">
        <v>4</v>
      </c>
      <c r="N4" s="11" t="s">
        <v>5</v>
      </c>
      <c r="O4" s="11" t="s">
        <v>4</v>
      </c>
      <c r="P4" s="13" t="s">
        <v>5</v>
      </c>
      <c r="Q4" s="14" t="s">
        <v>4</v>
      </c>
      <c r="R4" s="11" t="s">
        <v>5</v>
      </c>
      <c r="S4" s="11" t="s">
        <v>4</v>
      </c>
      <c r="T4" s="11" t="s">
        <v>5</v>
      </c>
      <c r="U4" s="11" t="s">
        <v>4</v>
      </c>
      <c r="V4" s="11" t="s">
        <v>5</v>
      </c>
      <c r="W4" s="11" t="s">
        <v>4</v>
      </c>
      <c r="X4" s="11" t="s">
        <v>5</v>
      </c>
      <c r="Y4" s="11" t="s">
        <v>4</v>
      </c>
      <c r="Z4" s="11" t="s">
        <v>5</v>
      </c>
      <c r="AA4" s="11" t="s">
        <v>4</v>
      </c>
      <c r="AB4" s="13" t="s">
        <v>5</v>
      </c>
      <c r="AC4" s="34"/>
    </row>
    <row r="5" spans="5:29" ht="30" customHeight="1">
      <c r="E5" s="46" t="s">
        <v>47</v>
      </c>
      <c r="F5" s="46"/>
      <c r="H5" s="18">
        <f>SUM(J5,K5,M5,O5,Q5,S5,U5,W5,Y5,AA5,AC5)</f>
        <v>44</v>
      </c>
      <c r="I5" s="7">
        <f>SUM(J5,L5,N5,P5,R5,T5,V5,X5,Z5,AB5)</f>
        <v>423</v>
      </c>
      <c r="J5" s="1">
        <v>8</v>
      </c>
      <c r="K5" s="1">
        <v>3</v>
      </c>
      <c r="L5" s="1">
        <v>6</v>
      </c>
      <c r="M5" s="1">
        <v>4</v>
      </c>
      <c r="N5" s="1">
        <v>12</v>
      </c>
      <c r="O5" s="1">
        <v>3</v>
      </c>
      <c r="P5" s="1">
        <v>12</v>
      </c>
      <c r="Q5" s="1">
        <v>12</v>
      </c>
      <c r="R5" s="1">
        <v>82</v>
      </c>
      <c r="S5" s="1">
        <v>12</v>
      </c>
      <c r="T5" s="1">
        <f>121+81</f>
        <v>202</v>
      </c>
      <c r="U5" s="1">
        <v>1</v>
      </c>
      <c r="V5" s="1">
        <v>34</v>
      </c>
      <c r="W5" s="1">
        <v>1</v>
      </c>
      <c r="X5" s="1">
        <v>67</v>
      </c>
      <c r="Y5" s="19" t="s">
        <v>137</v>
      </c>
      <c r="Z5" s="19" t="s">
        <v>137</v>
      </c>
      <c r="AA5" s="19" t="s">
        <v>137</v>
      </c>
      <c r="AB5" s="19" t="s">
        <v>137</v>
      </c>
      <c r="AC5" s="29" t="s">
        <v>137</v>
      </c>
    </row>
    <row r="6" spans="5:29" ht="15" customHeight="1">
      <c r="E6" s="42" t="s">
        <v>48</v>
      </c>
      <c r="F6" s="42"/>
      <c r="H6" s="18">
        <f>SUM(J6,K6,M6,O6,Q6,S6,U6,W6,Y6,AA6,AC6)</f>
        <v>230</v>
      </c>
      <c r="I6" s="7">
        <f>SUM(J6,L6,N6,P6,R6,T6,V6,X6,Z6,AB6)</f>
        <v>3082</v>
      </c>
      <c r="J6" s="1">
        <v>32</v>
      </c>
      <c r="K6" s="1">
        <v>38</v>
      </c>
      <c r="L6" s="1">
        <v>76</v>
      </c>
      <c r="M6" s="1">
        <v>24</v>
      </c>
      <c r="N6" s="1">
        <v>72</v>
      </c>
      <c r="O6" s="1">
        <v>13</v>
      </c>
      <c r="P6" s="1">
        <v>52</v>
      </c>
      <c r="Q6" s="1">
        <v>49</v>
      </c>
      <c r="R6" s="1">
        <v>314</v>
      </c>
      <c r="S6" s="1">
        <f>38+13</f>
        <v>51</v>
      </c>
      <c r="T6" s="1">
        <f>535+298</f>
        <v>833</v>
      </c>
      <c r="U6" s="1">
        <v>14</v>
      </c>
      <c r="V6" s="1">
        <v>527</v>
      </c>
      <c r="W6" s="1">
        <v>7</v>
      </c>
      <c r="X6" s="1">
        <v>410</v>
      </c>
      <c r="Y6" s="19" t="s">
        <v>137</v>
      </c>
      <c r="Z6" s="19" t="s">
        <v>137</v>
      </c>
      <c r="AA6" s="19">
        <v>2</v>
      </c>
      <c r="AB6" s="19">
        <v>766</v>
      </c>
      <c r="AC6" s="20" t="s">
        <v>137</v>
      </c>
    </row>
    <row r="7" spans="5:29" ht="15" customHeight="1">
      <c r="E7" s="42" t="s">
        <v>49</v>
      </c>
      <c r="F7" s="42"/>
      <c r="H7" s="18">
        <f>SUM(J7,K7,M7,O7,Q7,S7,U7,W7,Y7,AA7,AC7)</f>
        <v>112</v>
      </c>
      <c r="I7" s="7">
        <f>SUM(J7,L7,N7,P7,R7,T7,V7,X7,Z7,AB7)</f>
        <v>244</v>
      </c>
      <c r="J7" s="1">
        <v>22</v>
      </c>
      <c r="K7" s="1">
        <v>51</v>
      </c>
      <c r="L7" s="1">
        <v>102</v>
      </c>
      <c r="M7" s="1">
        <v>36</v>
      </c>
      <c r="N7" s="1">
        <v>108</v>
      </c>
      <c r="O7" s="1">
        <v>3</v>
      </c>
      <c r="P7" s="1">
        <v>12</v>
      </c>
      <c r="Q7" s="19" t="s">
        <v>137</v>
      </c>
      <c r="R7" s="19" t="s">
        <v>137</v>
      </c>
      <c r="S7" s="19" t="s">
        <v>137</v>
      </c>
      <c r="T7" s="19" t="s">
        <v>137</v>
      </c>
      <c r="U7" s="19" t="s">
        <v>137</v>
      </c>
      <c r="V7" s="19" t="s">
        <v>137</v>
      </c>
      <c r="W7" s="19" t="s">
        <v>137</v>
      </c>
      <c r="X7" s="19" t="s">
        <v>137</v>
      </c>
      <c r="Y7" s="19" t="s">
        <v>137</v>
      </c>
      <c r="Z7" s="19" t="s">
        <v>137</v>
      </c>
      <c r="AA7" s="19" t="s">
        <v>137</v>
      </c>
      <c r="AB7" s="19" t="s">
        <v>137</v>
      </c>
      <c r="AC7" s="20" t="s">
        <v>137</v>
      </c>
    </row>
    <row r="8" spans="5:29" ht="15" customHeight="1">
      <c r="E8" s="42" t="s">
        <v>50</v>
      </c>
      <c r="F8" s="42"/>
      <c r="H8" s="18">
        <f>SUM(J8,K8,M8,O8,Q8,S8,U8,W8,Y8,AA8,AC8)</f>
        <v>184</v>
      </c>
      <c r="I8" s="7">
        <f>SUM(J8,L8,N8,P8,R8,T8,V8,X8,Z8,AB8)</f>
        <v>2553</v>
      </c>
      <c r="J8" s="1">
        <v>16</v>
      </c>
      <c r="K8" s="1">
        <v>45</v>
      </c>
      <c r="L8" s="1">
        <v>90</v>
      </c>
      <c r="M8" s="1">
        <v>34</v>
      </c>
      <c r="N8" s="1">
        <v>102</v>
      </c>
      <c r="O8" s="1">
        <v>13</v>
      </c>
      <c r="P8" s="1">
        <v>52</v>
      </c>
      <c r="Q8" s="1">
        <v>44</v>
      </c>
      <c r="R8" s="1">
        <v>288</v>
      </c>
      <c r="S8" s="1">
        <f>16+6</f>
        <v>22</v>
      </c>
      <c r="T8" s="1">
        <f>198+142</f>
        <v>340</v>
      </c>
      <c r="U8" s="1">
        <v>2</v>
      </c>
      <c r="V8" s="1">
        <v>72</v>
      </c>
      <c r="W8" s="1">
        <v>1</v>
      </c>
      <c r="X8" s="1">
        <v>59</v>
      </c>
      <c r="Y8" s="1">
        <v>3</v>
      </c>
      <c r="Z8" s="1">
        <v>383</v>
      </c>
      <c r="AA8" s="1">
        <v>3</v>
      </c>
      <c r="AB8" s="1">
        <v>1151</v>
      </c>
      <c r="AC8" s="20">
        <v>1</v>
      </c>
    </row>
    <row r="9" spans="2:29" ht="30" customHeight="1">
      <c r="B9" s="17"/>
      <c r="C9" s="42" t="s">
        <v>148</v>
      </c>
      <c r="D9" s="42"/>
      <c r="E9" s="42"/>
      <c r="F9" s="42"/>
      <c r="H9" s="18">
        <f aca="true" t="shared" si="0" ref="H9:AC9">SUM(H10,H18,H26)</f>
        <v>33406</v>
      </c>
      <c r="I9" s="7">
        <f t="shared" si="0"/>
        <v>181501</v>
      </c>
      <c r="J9" s="7">
        <f t="shared" si="0"/>
        <v>5890</v>
      </c>
      <c r="K9" s="7">
        <f t="shared" si="0"/>
        <v>9125</v>
      </c>
      <c r="L9" s="7">
        <f t="shared" si="0"/>
        <v>18250</v>
      </c>
      <c r="M9" s="7">
        <f t="shared" si="0"/>
        <v>4925</v>
      </c>
      <c r="N9" s="7">
        <f t="shared" si="0"/>
        <v>14775</v>
      </c>
      <c r="O9" s="7">
        <f t="shared" si="0"/>
        <v>3231</v>
      </c>
      <c r="P9" s="7">
        <f t="shared" si="0"/>
        <v>12924</v>
      </c>
      <c r="Q9" s="7">
        <f t="shared" si="0"/>
        <v>6130</v>
      </c>
      <c r="R9" s="7">
        <f t="shared" si="0"/>
        <v>39165</v>
      </c>
      <c r="S9" s="7">
        <f t="shared" si="0"/>
        <v>3465</v>
      </c>
      <c r="T9" s="7">
        <f t="shared" si="0"/>
        <v>53669</v>
      </c>
      <c r="U9" s="7">
        <f t="shared" si="0"/>
        <v>388</v>
      </c>
      <c r="V9" s="7">
        <f t="shared" si="0"/>
        <v>14334</v>
      </c>
      <c r="W9" s="7">
        <f t="shared" si="0"/>
        <v>173</v>
      </c>
      <c r="X9" s="7">
        <f t="shared" si="0"/>
        <v>11262</v>
      </c>
      <c r="Y9" s="7">
        <f t="shared" si="0"/>
        <v>58</v>
      </c>
      <c r="Z9" s="7">
        <f t="shared" si="0"/>
        <v>8607</v>
      </c>
      <c r="AA9" s="7">
        <f t="shared" si="0"/>
        <v>6</v>
      </c>
      <c r="AB9" s="7">
        <f t="shared" si="0"/>
        <v>2625</v>
      </c>
      <c r="AC9" s="7">
        <f t="shared" si="0"/>
        <v>15</v>
      </c>
    </row>
    <row r="10" spans="4:29" ht="15" customHeight="1">
      <c r="D10" s="42" t="s">
        <v>51</v>
      </c>
      <c r="E10" s="42"/>
      <c r="F10" s="42"/>
      <c r="H10" s="18">
        <f>SUM(J10,K10,M10,O10,Q10,S10,U10,W10,Y10,AA10,AC10)</f>
        <v>4165</v>
      </c>
      <c r="I10" s="7">
        <f aca="true" t="shared" si="1" ref="I10:AC10">SUM(I11:I17)</f>
        <v>36440</v>
      </c>
      <c r="J10" s="7">
        <f t="shared" si="1"/>
        <v>323</v>
      </c>
      <c r="K10" s="7">
        <f t="shared" si="1"/>
        <v>629</v>
      </c>
      <c r="L10" s="7">
        <f t="shared" si="1"/>
        <v>1258</v>
      </c>
      <c r="M10" s="7">
        <f t="shared" si="1"/>
        <v>558</v>
      </c>
      <c r="N10" s="7">
        <f t="shared" si="1"/>
        <v>1674</v>
      </c>
      <c r="O10" s="7">
        <f t="shared" si="1"/>
        <v>441</v>
      </c>
      <c r="P10" s="7">
        <f t="shared" si="1"/>
        <v>1764</v>
      </c>
      <c r="Q10" s="7">
        <f t="shared" si="1"/>
        <v>1172</v>
      </c>
      <c r="R10" s="7">
        <f t="shared" si="1"/>
        <v>7739</v>
      </c>
      <c r="S10" s="7">
        <f t="shared" si="1"/>
        <v>870</v>
      </c>
      <c r="T10" s="7">
        <f t="shared" si="1"/>
        <v>13778</v>
      </c>
      <c r="U10" s="7">
        <f t="shared" si="1"/>
        <v>108</v>
      </c>
      <c r="V10" s="7">
        <f t="shared" si="1"/>
        <v>3973</v>
      </c>
      <c r="W10" s="7">
        <f t="shared" si="1"/>
        <v>43</v>
      </c>
      <c r="X10" s="7">
        <f t="shared" si="1"/>
        <v>2828</v>
      </c>
      <c r="Y10" s="7">
        <f t="shared" si="1"/>
        <v>14</v>
      </c>
      <c r="Z10" s="7">
        <f t="shared" si="1"/>
        <v>1916</v>
      </c>
      <c r="AA10" s="7">
        <f t="shared" si="1"/>
        <v>2</v>
      </c>
      <c r="AB10" s="7">
        <f t="shared" si="1"/>
        <v>1187</v>
      </c>
      <c r="AC10" s="7">
        <f t="shared" si="1"/>
        <v>5</v>
      </c>
    </row>
    <row r="11" spans="5:29" ht="15" customHeight="1">
      <c r="E11" s="42" t="s">
        <v>114</v>
      </c>
      <c r="F11" s="42"/>
      <c r="H11" s="18">
        <f>SUM(J11,K11,M11,O11,Q11,S11,U11,W11,Y11,AA11,AC11)</f>
        <v>10</v>
      </c>
      <c r="I11" s="7">
        <f>SUM(J11,L11,N11,P11,R11,T11,V11,X11,Z11,AB11)</f>
        <v>99</v>
      </c>
      <c r="J11" s="19" t="s">
        <v>137</v>
      </c>
      <c r="K11" s="1">
        <v>1</v>
      </c>
      <c r="L11" s="1">
        <v>2</v>
      </c>
      <c r="M11" s="1">
        <v>2</v>
      </c>
      <c r="N11" s="1">
        <v>6</v>
      </c>
      <c r="O11" s="19">
        <v>1</v>
      </c>
      <c r="P11" s="19">
        <v>4</v>
      </c>
      <c r="Q11" s="1">
        <v>2</v>
      </c>
      <c r="R11" s="1">
        <v>14</v>
      </c>
      <c r="S11" s="1">
        <v>3</v>
      </c>
      <c r="T11" s="1">
        <v>41</v>
      </c>
      <c r="U11" s="1">
        <v>1</v>
      </c>
      <c r="V11" s="1">
        <v>32</v>
      </c>
      <c r="W11" s="19" t="s">
        <v>137</v>
      </c>
      <c r="X11" s="19" t="s">
        <v>137</v>
      </c>
      <c r="Y11" s="19" t="s">
        <v>137</v>
      </c>
      <c r="Z11" s="19" t="s">
        <v>137</v>
      </c>
      <c r="AA11" s="19" t="s">
        <v>137</v>
      </c>
      <c r="AB11" s="19" t="s">
        <v>137</v>
      </c>
      <c r="AC11" s="20" t="s">
        <v>137</v>
      </c>
    </row>
    <row r="12" spans="5:29" ht="15" customHeight="1">
      <c r="E12" s="42" t="s">
        <v>115</v>
      </c>
      <c r="F12" s="42"/>
      <c r="H12" s="18">
        <f>SUM(J12,K12,M12,O12,Q12,S12,U12,W12,Y12,AA12,AC12)</f>
        <v>69</v>
      </c>
      <c r="I12" s="7">
        <f>SUM(J12,L12,N12,P12,R12,T12,V12,X12,Z12,AB12)</f>
        <v>625</v>
      </c>
      <c r="J12" s="1">
        <v>6</v>
      </c>
      <c r="K12" s="1">
        <v>13</v>
      </c>
      <c r="L12" s="1">
        <v>26</v>
      </c>
      <c r="M12" s="1">
        <v>3</v>
      </c>
      <c r="N12" s="1">
        <v>9</v>
      </c>
      <c r="O12" s="1">
        <v>9</v>
      </c>
      <c r="P12" s="1">
        <v>36</v>
      </c>
      <c r="Q12" s="1">
        <v>16</v>
      </c>
      <c r="R12" s="1">
        <v>106</v>
      </c>
      <c r="S12" s="1">
        <v>19</v>
      </c>
      <c r="T12" s="1">
        <f>159+178</f>
        <v>337</v>
      </c>
      <c r="U12" s="1">
        <v>3</v>
      </c>
      <c r="V12" s="1">
        <v>105</v>
      </c>
      <c r="W12" s="19" t="s">
        <v>137</v>
      </c>
      <c r="X12" s="19" t="s">
        <v>137</v>
      </c>
      <c r="Y12" s="19" t="s">
        <v>137</v>
      </c>
      <c r="Z12" s="19" t="s">
        <v>137</v>
      </c>
      <c r="AA12" s="19" t="s">
        <v>137</v>
      </c>
      <c r="AB12" s="19" t="s">
        <v>137</v>
      </c>
      <c r="AC12" s="20" t="s">
        <v>137</v>
      </c>
    </row>
    <row r="13" spans="5:29" ht="15" customHeight="1">
      <c r="E13" s="42" t="s">
        <v>116</v>
      </c>
      <c r="F13" s="42"/>
      <c r="H13" s="18">
        <f>SUM(J13,K13,M13,O13,Q13,S13,U13,W13,Y13,AA13,AC13)</f>
        <v>1234</v>
      </c>
      <c r="I13" s="7">
        <f>SUM(J13,L13,N13,P13,R13,T13,V13,X13,Z13,AB13)</f>
        <v>12203</v>
      </c>
      <c r="J13" s="1">
        <v>100</v>
      </c>
      <c r="K13" s="1">
        <v>182</v>
      </c>
      <c r="L13" s="1">
        <v>364</v>
      </c>
      <c r="M13" s="1">
        <v>161</v>
      </c>
      <c r="N13" s="1">
        <v>483</v>
      </c>
      <c r="O13" s="1">
        <v>105</v>
      </c>
      <c r="P13" s="1">
        <v>420</v>
      </c>
      <c r="Q13" s="1">
        <v>330</v>
      </c>
      <c r="R13" s="1">
        <v>2207</v>
      </c>
      <c r="S13" s="1">
        <f>213+78</f>
        <v>291</v>
      </c>
      <c r="T13" s="1">
        <f>2923+1818</f>
        <v>4741</v>
      </c>
      <c r="U13" s="1">
        <v>42</v>
      </c>
      <c r="V13" s="1">
        <v>1541</v>
      </c>
      <c r="W13" s="1">
        <v>15</v>
      </c>
      <c r="X13" s="1">
        <v>1115</v>
      </c>
      <c r="Y13" s="1">
        <v>5</v>
      </c>
      <c r="Z13" s="1">
        <f>513+215</f>
        <v>728</v>
      </c>
      <c r="AA13" s="1">
        <v>1</v>
      </c>
      <c r="AB13" s="1">
        <v>504</v>
      </c>
      <c r="AC13" s="20">
        <v>2</v>
      </c>
    </row>
    <row r="14" spans="5:29" ht="15" customHeight="1">
      <c r="E14" s="42" t="s">
        <v>117</v>
      </c>
      <c r="F14" s="42"/>
      <c r="H14" s="18"/>
      <c r="I14" s="7"/>
      <c r="AA14" s="19"/>
      <c r="AB14" s="19"/>
      <c r="AC14" s="20"/>
    </row>
    <row r="15" spans="5:29" ht="15" customHeight="1">
      <c r="E15" s="42" t="s">
        <v>51</v>
      </c>
      <c r="F15" s="42"/>
      <c r="H15" s="18">
        <f>SUM(J15,K15,M15,O15,Q15,S15,U15,W15,Y15,AA15,AC15)</f>
        <v>991</v>
      </c>
      <c r="I15" s="7">
        <f>SUM(J15,L15,N15,P15,R15,T15,V15,X15,Z15,AB15)</f>
        <v>7423</v>
      </c>
      <c r="J15" s="1">
        <v>73</v>
      </c>
      <c r="K15" s="1">
        <v>137</v>
      </c>
      <c r="L15" s="1">
        <v>274</v>
      </c>
      <c r="M15" s="1">
        <v>155</v>
      </c>
      <c r="N15" s="1">
        <v>465</v>
      </c>
      <c r="O15" s="1">
        <v>130</v>
      </c>
      <c r="P15" s="1">
        <v>520</v>
      </c>
      <c r="Q15" s="1">
        <v>302</v>
      </c>
      <c r="R15" s="1">
        <v>1974</v>
      </c>
      <c r="S15" s="1">
        <f>135+41</f>
        <v>176</v>
      </c>
      <c r="T15" s="1">
        <f>1742+963</f>
        <v>2705</v>
      </c>
      <c r="U15" s="1">
        <v>12</v>
      </c>
      <c r="V15" s="1">
        <v>441</v>
      </c>
      <c r="W15" s="1">
        <v>2</v>
      </c>
      <c r="X15" s="1">
        <v>107</v>
      </c>
      <c r="Y15" s="1">
        <v>1</v>
      </c>
      <c r="Z15" s="1">
        <v>181</v>
      </c>
      <c r="AA15" s="19">
        <v>1</v>
      </c>
      <c r="AB15" s="19">
        <v>683</v>
      </c>
      <c r="AC15" s="7">
        <v>2</v>
      </c>
    </row>
    <row r="16" spans="5:29" ht="15" customHeight="1">
      <c r="E16" s="42" t="s">
        <v>119</v>
      </c>
      <c r="F16" s="42"/>
      <c r="H16" s="18">
        <f aca="true" t="shared" si="2" ref="H16:H22">SUM(J16,K16,M16,O16,Q16,S16,U16,W16,Y16,AA16,AC16)</f>
        <v>841</v>
      </c>
      <c r="I16" s="7">
        <f>SUM(J16,L16,N16,P16,R16,T16,V16,X16,Z16,AB16)</f>
        <v>7497</v>
      </c>
      <c r="J16" s="1">
        <v>40</v>
      </c>
      <c r="K16" s="1">
        <v>113</v>
      </c>
      <c r="L16" s="1">
        <v>226</v>
      </c>
      <c r="M16" s="1">
        <v>111</v>
      </c>
      <c r="N16" s="1">
        <v>333</v>
      </c>
      <c r="O16" s="1">
        <v>84</v>
      </c>
      <c r="P16" s="1">
        <v>336</v>
      </c>
      <c r="Q16" s="1">
        <v>263</v>
      </c>
      <c r="R16" s="1">
        <v>1731</v>
      </c>
      <c r="S16" s="1">
        <f>152+39</f>
        <v>191</v>
      </c>
      <c r="T16" s="1">
        <f>2005+925</f>
        <v>2930</v>
      </c>
      <c r="U16" s="1">
        <v>23</v>
      </c>
      <c r="V16" s="1">
        <v>826</v>
      </c>
      <c r="W16" s="1">
        <v>15</v>
      </c>
      <c r="X16" s="1">
        <v>926</v>
      </c>
      <c r="Y16" s="1">
        <v>1</v>
      </c>
      <c r="Z16" s="1">
        <v>149</v>
      </c>
      <c r="AA16" s="19" t="s">
        <v>137</v>
      </c>
      <c r="AB16" s="19" t="s">
        <v>137</v>
      </c>
      <c r="AC16" s="20" t="s">
        <v>137</v>
      </c>
    </row>
    <row r="17" spans="5:29" ht="15" customHeight="1">
      <c r="E17" s="42" t="s">
        <v>120</v>
      </c>
      <c r="F17" s="42"/>
      <c r="H17" s="18">
        <f t="shared" si="2"/>
        <v>1020</v>
      </c>
      <c r="I17" s="7">
        <f>SUM(J17,L17,N17,P17,R17,T17,V17,X17,Z17,AB17)</f>
        <v>8593</v>
      </c>
      <c r="J17" s="1">
        <v>104</v>
      </c>
      <c r="K17" s="1">
        <v>183</v>
      </c>
      <c r="L17" s="1">
        <v>366</v>
      </c>
      <c r="M17" s="1">
        <v>126</v>
      </c>
      <c r="N17" s="1">
        <v>378</v>
      </c>
      <c r="O17" s="1">
        <v>112</v>
      </c>
      <c r="P17" s="1">
        <v>448</v>
      </c>
      <c r="Q17" s="1">
        <v>259</v>
      </c>
      <c r="R17" s="1">
        <v>1707</v>
      </c>
      <c r="S17" s="1">
        <f>149+41</f>
        <v>190</v>
      </c>
      <c r="T17" s="1">
        <f>2050+974</f>
        <v>3024</v>
      </c>
      <c r="U17" s="19">
        <v>27</v>
      </c>
      <c r="V17" s="19">
        <v>1028</v>
      </c>
      <c r="W17" s="19">
        <v>11</v>
      </c>
      <c r="X17" s="19">
        <v>680</v>
      </c>
      <c r="Y17" s="19">
        <v>7</v>
      </c>
      <c r="Z17" s="19">
        <v>858</v>
      </c>
      <c r="AA17" s="19" t="s">
        <v>137</v>
      </c>
      <c r="AB17" s="19" t="s">
        <v>137</v>
      </c>
      <c r="AC17" s="20">
        <v>1</v>
      </c>
    </row>
    <row r="18" spans="4:29" ht="15" customHeight="1">
      <c r="D18" s="42" t="s">
        <v>52</v>
      </c>
      <c r="E18" s="42"/>
      <c r="F18" s="42"/>
      <c r="H18" s="18">
        <f t="shared" si="2"/>
        <v>20751</v>
      </c>
      <c r="I18" s="7">
        <f aca="true" t="shared" si="3" ref="I18:AC18">SUM(I19:I25)</f>
        <v>107635</v>
      </c>
      <c r="J18" s="7">
        <f t="shared" si="3"/>
        <v>4001</v>
      </c>
      <c r="K18" s="7">
        <f t="shared" si="3"/>
        <v>5978</v>
      </c>
      <c r="L18" s="7">
        <f t="shared" si="3"/>
        <v>11956</v>
      </c>
      <c r="M18" s="7">
        <f t="shared" si="3"/>
        <v>3046</v>
      </c>
      <c r="N18" s="7">
        <f t="shared" si="3"/>
        <v>9138</v>
      </c>
      <c r="O18" s="7">
        <f t="shared" si="3"/>
        <v>1940</v>
      </c>
      <c r="P18" s="7">
        <f t="shared" si="3"/>
        <v>7760</v>
      </c>
      <c r="Q18" s="7">
        <f t="shared" si="3"/>
        <v>3475</v>
      </c>
      <c r="R18" s="7">
        <f t="shared" si="3"/>
        <v>22147</v>
      </c>
      <c r="S18" s="7">
        <f t="shared" si="3"/>
        <v>1938</v>
      </c>
      <c r="T18" s="7">
        <f t="shared" si="3"/>
        <v>29519</v>
      </c>
      <c r="U18" s="7">
        <f t="shared" si="3"/>
        <v>203</v>
      </c>
      <c r="V18" s="7">
        <f t="shared" si="3"/>
        <v>7529</v>
      </c>
      <c r="W18" s="7">
        <f t="shared" si="3"/>
        <v>115</v>
      </c>
      <c r="X18" s="7">
        <f t="shared" si="3"/>
        <v>7558</v>
      </c>
      <c r="Y18" s="7">
        <f t="shared" si="3"/>
        <v>43</v>
      </c>
      <c r="Z18" s="7">
        <f t="shared" si="3"/>
        <v>6589</v>
      </c>
      <c r="AA18" s="7">
        <f t="shared" si="3"/>
        <v>4</v>
      </c>
      <c r="AB18" s="7">
        <f t="shared" si="3"/>
        <v>1438</v>
      </c>
      <c r="AC18" s="7">
        <f t="shared" si="3"/>
        <v>8</v>
      </c>
    </row>
    <row r="19" spans="5:29" ht="15" customHeight="1">
      <c r="E19" s="42" t="s">
        <v>121</v>
      </c>
      <c r="F19" s="42"/>
      <c r="H19" s="18">
        <f t="shared" si="2"/>
        <v>147</v>
      </c>
      <c r="I19" s="7">
        <f>SUM(J19,L19,N19,P19,R19,T19,V19,X19,Z19,AB19)</f>
        <v>6323</v>
      </c>
      <c r="J19" s="1">
        <v>23</v>
      </c>
      <c r="K19" s="1">
        <v>20</v>
      </c>
      <c r="L19" s="1">
        <v>40</v>
      </c>
      <c r="M19" s="1">
        <v>12</v>
      </c>
      <c r="N19" s="1">
        <v>36</v>
      </c>
      <c r="O19" s="1">
        <v>6</v>
      </c>
      <c r="P19" s="1">
        <v>24</v>
      </c>
      <c r="Q19" s="1">
        <v>21</v>
      </c>
      <c r="R19" s="1">
        <v>128</v>
      </c>
      <c r="S19" s="1">
        <f>12+11</f>
        <v>23</v>
      </c>
      <c r="T19" s="1">
        <f>160+259</f>
        <v>419</v>
      </c>
      <c r="U19" s="19">
        <v>5</v>
      </c>
      <c r="V19" s="19">
        <v>170</v>
      </c>
      <c r="W19" s="1">
        <v>15</v>
      </c>
      <c r="X19" s="1">
        <v>1083</v>
      </c>
      <c r="Y19" s="1">
        <v>19</v>
      </c>
      <c r="Z19" s="1">
        <f>1352+1984</f>
        <v>3336</v>
      </c>
      <c r="AA19" s="1">
        <v>3</v>
      </c>
      <c r="AB19" s="1">
        <v>1064</v>
      </c>
      <c r="AC19" s="20" t="s">
        <v>137</v>
      </c>
    </row>
    <row r="20" spans="5:29" ht="15" customHeight="1">
      <c r="E20" s="42" t="s">
        <v>53</v>
      </c>
      <c r="F20" s="42"/>
      <c r="H20" s="18">
        <f t="shared" si="2"/>
        <v>2372</v>
      </c>
      <c r="I20" s="7">
        <f>SUM(J20,L20,N20,P20,R20,T20,V20,X20,Z20,AB20)</f>
        <v>9544</v>
      </c>
      <c r="J20" s="1">
        <v>438</v>
      </c>
      <c r="K20" s="1">
        <v>669</v>
      </c>
      <c r="L20" s="1">
        <v>1338</v>
      </c>
      <c r="M20" s="1">
        <v>435</v>
      </c>
      <c r="N20" s="1">
        <v>1305</v>
      </c>
      <c r="O20" s="1">
        <v>267</v>
      </c>
      <c r="P20" s="1">
        <v>1068</v>
      </c>
      <c r="Q20" s="1">
        <v>412</v>
      </c>
      <c r="R20" s="1">
        <v>2558</v>
      </c>
      <c r="S20" s="1">
        <f>117+16</f>
        <v>133</v>
      </c>
      <c r="T20" s="1">
        <f>1509+372</f>
        <v>1881</v>
      </c>
      <c r="U20" s="1">
        <v>13</v>
      </c>
      <c r="V20" s="1">
        <v>451</v>
      </c>
      <c r="W20" s="1">
        <v>1</v>
      </c>
      <c r="X20" s="1">
        <v>76</v>
      </c>
      <c r="Y20" s="1">
        <v>3</v>
      </c>
      <c r="Z20" s="1">
        <v>429</v>
      </c>
      <c r="AA20" s="19" t="s">
        <v>137</v>
      </c>
      <c r="AB20" s="19" t="s">
        <v>137</v>
      </c>
      <c r="AC20" s="20">
        <v>1</v>
      </c>
    </row>
    <row r="21" spans="5:29" ht="15" customHeight="1">
      <c r="E21" s="42" t="s">
        <v>122</v>
      </c>
      <c r="F21" s="42"/>
      <c r="H21" s="18">
        <f t="shared" si="2"/>
        <v>8701</v>
      </c>
      <c r="I21" s="7">
        <f>SUM(J21,L21,N21,P21,R21,T21,V21,X21,Z21,AB21)</f>
        <v>43874</v>
      </c>
      <c r="J21" s="1">
        <v>1829</v>
      </c>
      <c r="K21" s="1">
        <v>2740</v>
      </c>
      <c r="L21" s="1">
        <v>5480</v>
      </c>
      <c r="M21" s="1">
        <v>1262</v>
      </c>
      <c r="N21" s="1">
        <v>3786</v>
      </c>
      <c r="O21" s="1">
        <v>679</v>
      </c>
      <c r="P21" s="1">
        <v>2716</v>
      </c>
      <c r="Q21" s="1">
        <v>1127</v>
      </c>
      <c r="R21" s="1">
        <v>7259</v>
      </c>
      <c r="S21" s="1">
        <f>716+170</f>
        <v>886</v>
      </c>
      <c r="T21" s="1">
        <f>9483+4007</f>
        <v>13490</v>
      </c>
      <c r="U21" s="1">
        <v>103</v>
      </c>
      <c r="V21" s="1">
        <v>3887</v>
      </c>
      <c r="W21" s="1">
        <v>63</v>
      </c>
      <c r="X21" s="1">
        <v>4060</v>
      </c>
      <c r="Y21" s="1">
        <v>8</v>
      </c>
      <c r="Z21" s="1">
        <v>993</v>
      </c>
      <c r="AA21" s="19">
        <v>1</v>
      </c>
      <c r="AB21" s="19">
        <v>374</v>
      </c>
      <c r="AC21" s="20">
        <v>3</v>
      </c>
    </row>
    <row r="22" spans="5:29" ht="15" customHeight="1">
      <c r="E22" s="42" t="s">
        <v>123</v>
      </c>
      <c r="F22" s="42"/>
      <c r="H22" s="18">
        <f t="shared" si="2"/>
        <v>1246</v>
      </c>
      <c r="I22" s="7">
        <f>SUM(J22,L22,N22,P22,R22,T22,V22,X22,Z22,AB22)</f>
        <v>7278</v>
      </c>
      <c r="J22" s="1">
        <v>193</v>
      </c>
      <c r="K22" s="1">
        <v>288</v>
      </c>
      <c r="L22" s="1">
        <v>576</v>
      </c>
      <c r="M22" s="1">
        <v>167</v>
      </c>
      <c r="N22" s="1">
        <v>501</v>
      </c>
      <c r="O22" s="1">
        <v>124</v>
      </c>
      <c r="P22" s="1">
        <v>496</v>
      </c>
      <c r="Q22" s="1">
        <v>268</v>
      </c>
      <c r="R22" s="1">
        <v>1755</v>
      </c>
      <c r="S22" s="1">
        <f>150+32</f>
        <v>182</v>
      </c>
      <c r="T22" s="1">
        <f>2011+743</f>
        <v>2754</v>
      </c>
      <c r="U22" s="1">
        <v>15</v>
      </c>
      <c r="V22" s="1">
        <v>544</v>
      </c>
      <c r="W22" s="1">
        <v>6</v>
      </c>
      <c r="X22" s="1">
        <v>346</v>
      </c>
      <c r="Y22" s="19">
        <v>1</v>
      </c>
      <c r="Z22" s="19">
        <v>113</v>
      </c>
      <c r="AA22" s="19" t="s">
        <v>137</v>
      </c>
      <c r="AB22" s="19" t="s">
        <v>137</v>
      </c>
      <c r="AC22" s="20">
        <v>2</v>
      </c>
    </row>
    <row r="23" spans="5:8" ht="15" customHeight="1">
      <c r="E23" s="42" t="s">
        <v>124</v>
      </c>
      <c r="F23" s="42"/>
      <c r="H23" s="18"/>
    </row>
    <row r="24" spans="5:29" ht="15" customHeight="1">
      <c r="E24" s="42" t="s">
        <v>54</v>
      </c>
      <c r="F24" s="42"/>
      <c r="H24" s="18">
        <f>SUM(J24,K24,M24,O24,Q24,S24,U24,W24,Y24,AA24,AC24)</f>
        <v>1852</v>
      </c>
      <c r="I24" s="7">
        <f>SUM(J24,L24,N24,P24,R24,T24,V24,X24,Z24,AB24)</f>
        <v>7765</v>
      </c>
      <c r="J24" s="1">
        <v>300</v>
      </c>
      <c r="K24" s="1">
        <v>693</v>
      </c>
      <c r="L24" s="1">
        <v>1386</v>
      </c>
      <c r="M24" s="1">
        <v>327</v>
      </c>
      <c r="N24" s="1">
        <v>981</v>
      </c>
      <c r="O24" s="1">
        <v>188</v>
      </c>
      <c r="P24" s="1">
        <v>752</v>
      </c>
      <c r="Q24" s="1">
        <v>235</v>
      </c>
      <c r="R24" s="1">
        <v>1454</v>
      </c>
      <c r="S24" s="1">
        <f>61+23</f>
        <v>84</v>
      </c>
      <c r="T24" s="1">
        <f>824+541</f>
        <v>1365</v>
      </c>
      <c r="U24" s="1">
        <v>15</v>
      </c>
      <c r="V24" s="1">
        <v>557</v>
      </c>
      <c r="W24" s="1">
        <v>8</v>
      </c>
      <c r="X24" s="1">
        <v>546</v>
      </c>
      <c r="Y24" s="19">
        <v>2</v>
      </c>
      <c r="Z24" s="19">
        <f>137+287</f>
        <v>424</v>
      </c>
      <c r="AA24" s="19" t="s">
        <v>137</v>
      </c>
      <c r="AB24" s="19" t="s">
        <v>137</v>
      </c>
      <c r="AC24" s="20" t="s">
        <v>137</v>
      </c>
    </row>
    <row r="25" spans="5:29" ht="15" customHeight="1">
      <c r="E25" s="42" t="s">
        <v>118</v>
      </c>
      <c r="F25" s="42"/>
      <c r="H25" s="18">
        <f>SUM(J25,K25,M25,O25,Q25,S25,U25,W25,Y25,AA25,AC25)</f>
        <v>6433</v>
      </c>
      <c r="I25" s="7">
        <f>SUM(J25,L25,N25,P25,R25,T25,V25,X25,Z25,AB25)</f>
        <v>32851</v>
      </c>
      <c r="J25" s="1">
        <v>1218</v>
      </c>
      <c r="K25" s="1">
        <v>1568</v>
      </c>
      <c r="L25" s="1">
        <v>3136</v>
      </c>
      <c r="M25" s="1">
        <v>843</v>
      </c>
      <c r="N25" s="1">
        <v>2529</v>
      </c>
      <c r="O25" s="1">
        <v>676</v>
      </c>
      <c r="P25" s="1">
        <v>2704</v>
      </c>
      <c r="Q25" s="1">
        <v>1412</v>
      </c>
      <c r="R25" s="1">
        <v>8993</v>
      </c>
      <c r="S25" s="1">
        <f>509+121</f>
        <v>630</v>
      </c>
      <c r="T25" s="1">
        <f>6811+2799</f>
        <v>9610</v>
      </c>
      <c r="U25" s="1">
        <v>52</v>
      </c>
      <c r="V25" s="1">
        <v>1920</v>
      </c>
      <c r="W25" s="1">
        <v>22</v>
      </c>
      <c r="X25" s="1">
        <v>1447</v>
      </c>
      <c r="Y25" s="1">
        <v>10</v>
      </c>
      <c r="Z25" s="1">
        <f>1085+209</f>
        <v>1294</v>
      </c>
      <c r="AA25" s="19" t="s">
        <v>137</v>
      </c>
      <c r="AB25" s="19" t="s">
        <v>137</v>
      </c>
      <c r="AC25" s="20">
        <v>2</v>
      </c>
    </row>
    <row r="26" spans="4:29" ht="15" customHeight="1">
      <c r="D26" s="42" t="s">
        <v>55</v>
      </c>
      <c r="E26" s="42"/>
      <c r="F26" s="42"/>
      <c r="H26" s="18">
        <f>SUM(J26,K26,M26,O26,Q26,S26,U26,W26,Y26,AA26,AC26)</f>
        <v>8490</v>
      </c>
      <c r="I26" s="7">
        <f aca="true" t="shared" si="4" ref="I26:Z26">SUM(I27:I28)</f>
        <v>37426</v>
      </c>
      <c r="J26" s="7">
        <f t="shared" si="4"/>
        <v>1566</v>
      </c>
      <c r="K26" s="7">
        <f t="shared" si="4"/>
        <v>2518</v>
      </c>
      <c r="L26" s="7">
        <f t="shared" si="4"/>
        <v>5036</v>
      </c>
      <c r="M26" s="7">
        <f t="shared" si="4"/>
        <v>1321</v>
      </c>
      <c r="N26" s="7">
        <f t="shared" si="4"/>
        <v>3963</v>
      </c>
      <c r="O26" s="7">
        <f t="shared" si="4"/>
        <v>850</v>
      </c>
      <c r="P26" s="7">
        <f t="shared" si="4"/>
        <v>3400</v>
      </c>
      <c r="Q26" s="7">
        <f t="shared" si="4"/>
        <v>1483</v>
      </c>
      <c r="R26" s="7">
        <f t="shared" si="4"/>
        <v>9279</v>
      </c>
      <c r="S26" s="7">
        <f t="shared" si="4"/>
        <v>657</v>
      </c>
      <c r="T26" s="7">
        <f t="shared" si="4"/>
        <v>10372</v>
      </c>
      <c r="U26" s="7">
        <f t="shared" si="4"/>
        <v>77</v>
      </c>
      <c r="V26" s="7">
        <f t="shared" si="4"/>
        <v>2832</v>
      </c>
      <c r="W26" s="7">
        <f t="shared" si="4"/>
        <v>15</v>
      </c>
      <c r="X26" s="7">
        <f t="shared" si="4"/>
        <v>876</v>
      </c>
      <c r="Y26" s="7">
        <f t="shared" si="4"/>
        <v>1</v>
      </c>
      <c r="Z26" s="7">
        <f t="shared" si="4"/>
        <v>102</v>
      </c>
      <c r="AA26" s="19" t="s">
        <v>137</v>
      </c>
      <c r="AB26" s="19" t="s">
        <v>137</v>
      </c>
      <c r="AC26" s="7">
        <f>SUM(AC27:AC28)</f>
        <v>2</v>
      </c>
    </row>
    <row r="27" spans="5:29" ht="15" customHeight="1">
      <c r="E27" s="42" t="s">
        <v>56</v>
      </c>
      <c r="F27" s="42"/>
      <c r="H27" s="18">
        <f>SUM(J27,K27,M27,O27,Q27,S27,U27,W27,Y27,AA27,AC27)</f>
        <v>3962</v>
      </c>
      <c r="I27" s="7">
        <f>SUM(J27,L27,N27,P27,R27,T27,V27,X27,Z27,AB27)</f>
        <v>20990</v>
      </c>
      <c r="J27" s="1">
        <v>488</v>
      </c>
      <c r="K27" s="1">
        <v>1302</v>
      </c>
      <c r="L27" s="1">
        <v>2604</v>
      </c>
      <c r="M27" s="1">
        <v>565</v>
      </c>
      <c r="N27" s="1">
        <v>1695</v>
      </c>
      <c r="O27" s="1">
        <v>380</v>
      </c>
      <c r="P27" s="1">
        <v>1520</v>
      </c>
      <c r="Q27" s="1">
        <v>716</v>
      </c>
      <c r="R27" s="1">
        <v>4558</v>
      </c>
      <c r="S27" s="1">
        <f>325+107</f>
        <v>432</v>
      </c>
      <c r="T27" s="1">
        <f>4445+2528</f>
        <v>6973</v>
      </c>
      <c r="U27" s="1">
        <v>64</v>
      </c>
      <c r="V27" s="1">
        <v>2376</v>
      </c>
      <c r="W27" s="1">
        <v>13</v>
      </c>
      <c r="X27" s="1">
        <v>776</v>
      </c>
      <c r="Y27" s="19" t="s">
        <v>137</v>
      </c>
      <c r="Z27" s="19" t="s">
        <v>137</v>
      </c>
      <c r="AA27" s="19" t="s">
        <v>137</v>
      </c>
      <c r="AB27" s="19" t="s">
        <v>137</v>
      </c>
      <c r="AC27" s="20">
        <v>2</v>
      </c>
    </row>
    <row r="28" spans="5:29" ht="15" customHeight="1">
      <c r="E28" s="42" t="s">
        <v>57</v>
      </c>
      <c r="F28" s="42"/>
      <c r="H28" s="18">
        <f>SUM(J28,K28,M28,O28,Q28,S28,U28,W28,Y28,AA28,AC28)</f>
        <v>4528</v>
      </c>
      <c r="I28" s="7">
        <f>SUM(J28,L28,N28,P28,R28,T28,V28,X28,Z28,AB28)</f>
        <v>16436</v>
      </c>
      <c r="J28" s="1">
        <v>1078</v>
      </c>
      <c r="K28" s="1">
        <v>1216</v>
      </c>
      <c r="L28" s="1">
        <v>2432</v>
      </c>
      <c r="M28" s="1">
        <v>756</v>
      </c>
      <c r="N28" s="1">
        <v>2268</v>
      </c>
      <c r="O28" s="1">
        <v>470</v>
      </c>
      <c r="P28" s="1">
        <v>1880</v>
      </c>
      <c r="Q28" s="1">
        <v>767</v>
      </c>
      <c r="R28" s="1">
        <v>4721</v>
      </c>
      <c r="S28" s="1">
        <f>182+43</f>
        <v>225</v>
      </c>
      <c r="T28" s="1">
        <f>2387+1012</f>
        <v>3399</v>
      </c>
      <c r="U28" s="1">
        <v>13</v>
      </c>
      <c r="V28" s="1">
        <v>456</v>
      </c>
      <c r="W28" s="1">
        <v>2</v>
      </c>
      <c r="X28" s="1">
        <v>100</v>
      </c>
      <c r="Y28" s="19">
        <v>1</v>
      </c>
      <c r="Z28" s="19">
        <v>102</v>
      </c>
      <c r="AA28" s="19" t="s">
        <v>137</v>
      </c>
      <c r="AB28" s="19" t="s">
        <v>137</v>
      </c>
      <c r="AC28" s="20" t="s">
        <v>137</v>
      </c>
    </row>
    <row r="29" spans="3:29" ht="30" customHeight="1">
      <c r="C29" s="42" t="s">
        <v>108</v>
      </c>
      <c r="D29" s="42"/>
      <c r="E29" s="42"/>
      <c r="F29" s="42"/>
      <c r="H29" s="18">
        <f aca="true" t="shared" si="5" ref="H29:AC29">SUM(H30:H37)</f>
        <v>1303</v>
      </c>
      <c r="I29" s="7">
        <f t="shared" si="5"/>
        <v>16442</v>
      </c>
      <c r="J29" s="7">
        <f t="shared" si="5"/>
        <v>142</v>
      </c>
      <c r="K29" s="7">
        <f t="shared" si="5"/>
        <v>141</v>
      </c>
      <c r="L29" s="7">
        <f t="shared" si="5"/>
        <v>282</v>
      </c>
      <c r="M29" s="7">
        <f t="shared" si="5"/>
        <v>114</v>
      </c>
      <c r="N29" s="7">
        <f t="shared" si="5"/>
        <v>342</v>
      </c>
      <c r="O29" s="7">
        <f t="shared" si="5"/>
        <v>102</v>
      </c>
      <c r="P29" s="7">
        <f t="shared" si="5"/>
        <v>408</v>
      </c>
      <c r="Q29" s="7">
        <f t="shared" si="5"/>
        <v>293</v>
      </c>
      <c r="R29" s="7">
        <f t="shared" si="5"/>
        <v>1918</v>
      </c>
      <c r="S29" s="7">
        <f t="shared" si="5"/>
        <v>398</v>
      </c>
      <c r="T29" s="7">
        <f t="shared" si="5"/>
        <v>6720</v>
      </c>
      <c r="U29" s="7">
        <f t="shared" si="5"/>
        <v>75</v>
      </c>
      <c r="V29" s="7">
        <f t="shared" si="5"/>
        <v>2714</v>
      </c>
      <c r="W29" s="7">
        <f t="shared" si="5"/>
        <v>31</v>
      </c>
      <c r="X29" s="7">
        <f t="shared" si="5"/>
        <v>1995</v>
      </c>
      <c r="Y29" s="7">
        <f t="shared" si="5"/>
        <v>3</v>
      </c>
      <c r="Z29" s="7">
        <f t="shared" si="5"/>
        <v>472</v>
      </c>
      <c r="AA29" s="7">
        <f t="shared" si="5"/>
        <v>3</v>
      </c>
      <c r="AB29" s="7">
        <f t="shared" si="5"/>
        <v>1449</v>
      </c>
      <c r="AC29" s="7">
        <f t="shared" si="5"/>
        <v>1</v>
      </c>
    </row>
    <row r="30" spans="5:29" ht="15" customHeight="1">
      <c r="E30" s="42" t="s">
        <v>58</v>
      </c>
      <c r="F30" s="42"/>
      <c r="H30" s="18">
        <f aca="true" t="shared" si="6" ref="H30:H37">SUM(J30,K30,M30,O30,Q30,S30,U30,W30,Y30,AA30,AC30)</f>
        <v>314</v>
      </c>
      <c r="I30" s="7">
        <f aca="true" t="shared" si="7" ref="I30:I37">SUM(J30,L30,N30,P30,R30,T30,V30,X30,Z30,AB30)</f>
        <v>5219</v>
      </c>
      <c r="J30" s="1">
        <v>14</v>
      </c>
      <c r="K30" s="1">
        <v>4</v>
      </c>
      <c r="L30" s="1">
        <v>8</v>
      </c>
      <c r="M30" s="1">
        <v>8</v>
      </c>
      <c r="N30" s="1">
        <v>24</v>
      </c>
      <c r="O30" s="1">
        <v>12</v>
      </c>
      <c r="P30" s="1">
        <v>48</v>
      </c>
      <c r="Q30" s="1">
        <v>75</v>
      </c>
      <c r="R30" s="1">
        <v>517</v>
      </c>
      <c r="S30" s="1">
        <f>146+32</f>
        <v>178</v>
      </c>
      <c r="T30" s="1">
        <f>1985+765</f>
        <v>2750</v>
      </c>
      <c r="U30" s="1">
        <v>17</v>
      </c>
      <c r="V30" s="1">
        <v>612</v>
      </c>
      <c r="W30" s="1">
        <v>2</v>
      </c>
      <c r="X30" s="1">
        <v>147</v>
      </c>
      <c r="Y30" s="19">
        <v>1</v>
      </c>
      <c r="Z30" s="19">
        <v>121</v>
      </c>
      <c r="AA30" s="1">
        <v>2</v>
      </c>
      <c r="AB30" s="1">
        <v>978</v>
      </c>
      <c r="AC30" s="20">
        <v>1</v>
      </c>
    </row>
    <row r="31" spans="4:29" ht="15" customHeight="1">
      <c r="D31" s="1" t="s">
        <v>126</v>
      </c>
      <c r="E31" s="42" t="s">
        <v>125</v>
      </c>
      <c r="F31" s="42"/>
      <c r="H31" s="18">
        <f t="shared" si="6"/>
        <v>89</v>
      </c>
      <c r="I31" s="7">
        <f t="shared" si="7"/>
        <v>1177</v>
      </c>
      <c r="J31" s="19" t="s">
        <v>137</v>
      </c>
      <c r="K31" s="19" t="s">
        <v>137</v>
      </c>
      <c r="L31" s="19" t="s">
        <v>137</v>
      </c>
      <c r="M31" s="1">
        <v>1</v>
      </c>
      <c r="N31" s="1">
        <v>3</v>
      </c>
      <c r="O31" s="1">
        <v>4</v>
      </c>
      <c r="P31" s="1">
        <v>16</v>
      </c>
      <c r="Q31" s="1">
        <v>52</v>
      </c>
      <c r="R31" s="1">
        <v>350</v>
      </c>
      <c r="S31" s="1">
        <f>19+3</f>
        <v>22</v>
      </c>
      <c r="T31" s="1">
        <f>232+74</f>
        <v>306</v>
      </c>
      <c r="U31" s="1">
        <v>8</v>
      </c>
      <c r="V31" s="1">
        <v>290</v>
      </c>
      <c r="W31" s="1">
        <v>1</v>
      </c>
      <c r="X31" s="1">
        <v>74</v>
      </c>
      <c r="Y31" s="1">
        <v>1</v>
      </c>
      <c r="Z31" s="1">
        <v>138</v>
      </c>
      <c r="AA31" s="19" t="s">
        <v>137</v>
      </c>
      <c r="AB31" s="19" t="s">
        <v>137</v>
      </c>
      <c r="AC31" s="20" t="s">
        <v>137</v>
      </c>
    </row>
    <row r="32" spans="4:29" ht="15" customHeight="1">
      <c r="D32" s="1" t="s">
        <v>126</v>
      </c>
      <c r="E32" s="42" t="s">
        <v>127</v>
      </c>
      <c r="F32" s="42"/>
      <c r="H32" s="18">
        <f t="shared" si="6"/>
        <v>27</v>
      </c>
      <c r="I32" s="7">
        <f t="shared" si="7"/>
        <v>309</v>
      </c>
      <c r="J32" s="1">
        <v>6</v>
      </c>
      <c r="K32" s="1">
        <v>2</v>
      </c>
      <c r="L32" s="1">
        <v>4</v>
      </c>
      <c r="M32" s="1">
        <v>1</v>
      </c>
      <c r="N32" s="1">
        <v>3</v>
      </c>
      <c r="O32" s="1">
        <v>5</v>
      </c>
      <c r="P32" s="1">
        <v>20</v>
      </c>
      <c r="Q32" s="1">
        <v>8</v>
      </c>
      <c r="R32" s="1">
        <v>50</v>
      </c>
      <c r="S32" s="1">
        <v>2</v>
      </c>
      <c r="T32" s="1">
        <f>28</f>
        <v>28</v>
      </c>
      <c r="U32" s="1">
        <v>1</v>
      </c>
      <c r="V32" s="1">
        <v>33</v>
      </c>
      <c r="W32" s="1">
        <v>2</v>
      </c>
      <c r="X32" s="1">
        <v>165</v>
      </c>
      <c r="Y32" s="19" t="s">
        <v>137</v>
      </c>
      <c r="Z32" s="19" t="s">
        <v>137</v>
      </c>
      <c r="AA32" s="19" t="s">
        <v>137</v>
      </c>
      <c r="AB32" s="19" t="s">
        <v>137</v>
      </c>
      <c r="AC32" s="20" t="s">
        <v>137</v>
      </c>
    </row>
    <row r="33" spans="4:29" ht="15" customHeight="1">
      <c r="D33" s="1" t="s">
        <v>129</v>
      </c>
      <c r="E33" s="42" t="s">
        <v>128</v>
      </c>
      <c r="F33" s="42"/>
      <c r="H33" s="18">
        <f t="shared" si="6"/>
        <v>5</v>
      </c>
      <c r="I33" s="7">
        <f t="shared" si="7"/>
        <v>103</v>
      </c>
      <c r="J33" s="19" t="s">
        <v>137</v>
      </c>
      <c r="K33" s="1">
        <v>1</v>
      </c>
      <c r="L33" s="1">
        <v>2</v>
      </c>
      <c r="M33" s="19" t="s">
        <v>137</v>
      </c>
      <c r="N33" s="19" t="s">
        <v>137</v>
      </c>
      <c r="O33" s="19" t="s">
        <v>137</v>
      </c>
      <c r="P33" s="19" t="s">
        <v>137</v>
      </c>
      <c r="Q33" s="19" t="s">
        <v>137</v>
      </c>
      <c r="R33" s="19" t="s">
        <v>137</v>
      </c>
      <c r="S33" s="1">
        <f>1+2</f>
        <v>3</v>
      </c>
      <c r="T33" s="1">
        <f>16+44</f>
        <v>60</v>
      </c>
      <c r="U33" s="1">
        <v>1</v>
      </c>
      <c r="V33" s="1">
        <v>41</v>
      </c>
      <c r="W33" s="19" t="s">
        <v>137</v>
      </c>
      <c r="X33" s="19" t="s">
        <v>137</v>
      </c>
      <c r="Y33" s="19" t="s">
        <v>137</v>
      </c>
      <c r="Z33" s="19" t="s">
        <v>137</v>
      </c>
      <c r="AA33" s="19" t="s">
        <v>137</v>
      </c>
      <c r="AB33" s="19" t="s">
        <v>137</v>
      </c>
      <c r="AC33" s="20" t="s">
        <v>137</v>
      </c>
    </row>
    <row r="34" spans="4:29" ht="15" customHeight="1">
      <c r="D34" s="1" t="s">
        <v>126</v>
      </c>
      <c r="E34" s="42" t="s">
        <v>132</v>
      </c>
      <c r="F34" s="42"/>
      <c r="H34" s="18">
        <f t="shared" si="6"/>
        <v>290</v>
      </c>
      <c r="I34" s="7">
        <f t="shared" si="7"/>
        <v>1953</v>
      </c>
      <c r="J34" s="1">
        <v>42</v>
      </c>
      <c r="K34" s="1">
        <v>49</v>
      </c>
      <c r="L34" s="1">
        <v>98</v>
      </c>
      <c r="M34" s="1">
        <v>45</v>
      </c>
      <c r="N34" s="1">
        <v>135</v>
      </c>
      <c r="O34" s="1">
        <v>30</v>
      </c>
      <c r="P34" s="1">
        <v>120</v>
      </c>
      <c r="Q34" s="1">
        <v>80</v>
      </c>
      <c r="R34" s="1">
        <v>506</v>
      </c>
      <c r="S34" s="1">
        <f>23+9</f>
        <v>32</v>
      </c>
      <c r="T34" s="1">
        <f>294+209</f>
        <v>503</v>
      </c>
      <c r="U34" s="1">
        <v>8</v>
      </c>
      <c r="V34" s="1">
        <v>306</v>
      </c>
      <c r="W34" s="1">
        <v>4</v>
      </c>
      <c r="X34" s="1">
        <v>243</v>
      </c>
      <c r="Y34" s="19" t="s">
        <v>137</v>
      </c>
      <c r="Z34" s="19" t="s">
        <v>137</v>
      </c>
      <c r="AA34" s="19" t="s">
        <v>137</v>
      </c>
      <c r="AB34" s="19" t="s">
        <v>137</v>
      </c>
      <c r="AC34" s="20" t="s">
        <v>137</v>
      </c>
    </row>
    <row r="35" spans="5:29" ht="15" customHeight="1">
      <c r="E35" s="42" t="s">
        <v>59</v>
      </c>
      <c r="F35" s="42"/>
      <c r="H35" s="18">
        <f t="shared" si="6"/>
        <v>14</v>
      </c>
      <c r="I35" s="7">
        <f t="shared" si="7"/>
        <v>190</v>
      </c>
      <c r="J35" s="1">
        <v>2</v>
      </c>
      <c r="K35" s="1">
        <v>3</v>
      </c>
      <c r="L35" s="1">
        <v>6</v>
      </c>
      <c r="M35" s="1">
        <v>1</v>
      </c>
      <c r="N35" s="1">
        <v>3</v>
      </c>
      <c r="O35" s="19" t="s">
        <v>137</v>
      </c>
      <c r="P35" s="19" t="s">
        <v>137</v>
      </c>
      <c r="Q35" s="1">
        <v>2</v>
      </c>
      <c r="R35" s="1">
        <v>11</v>
      </c>
      <c r="S35" s="1">
        <f>1+4</f>
        <v>5</v>
      </c>
      <c r="T35" s="1">
        <f>11+91</f>
        <v>102</v>
      </c>
      <c r="U35" s="19" t="s">
        <v>137</v>
      </c>
      <c r="V35" s="19" t="s">
        <v>137</v>
      </c>
      <c r="W35" s="19">
        <v>1</v>
      </c>
      <c r="X35" s="19">
        <v>66</v>
      </c>
      <c r="Y35" s="19" t="s">
        <v>137</v>
      </c>
      <c r="Z35" s="19" t="s">
        <v>137</v>
      </c>
      <c r="AA35" s="19" t="s">
        <v>137</v>
      </c>
      <c r="AB35" s="19" t="s">
        <v>137</v>
      </c>
      <c r="AC35" s="20" t="s">
        <v>137</v>
      </c>
    </row>
    <row r="36" spans="5:29" ht="15" customHeight="1">
      <c r="E36" s="42" t="s">
        <v>60</v>
      </c>
      <c r="F36" s="42"/>
      <c r="H36" s="18">
        <f t="shared" si="6"/>
        <v>35</v>
      </c>
      <c r="I36" s="7">
        <f t="shared" si="7"/>
        <v>418</v>
      </c>
      <c r="J36" s="1">
        <v>3</v>
      </c>
      <c r="K36" s="1">
        <v>4</v>
      </c>
      <c r="L36" s="1">
        <v>8</v>
      </c>
      <c r="M36" s="1">
        <v>6</v>
      </c>
      <c r="N36" s="1">
        <v>18</v>
      </c>
      <c r="O36" s="1">
        <v>3</v>
      </c>
      <c r="P36" s="1">
        <v>12</v>
      </c>
      <c r="Q36" s="1">
        <v>9</v>
      </c>
      <c r="R36" s="1">
        <v>54</v>
      </c>
      <c r="S36" s="1">
        <f>3+3</f>
        <v>6</v>
      </c>
      <c r="T36" s="1">
        <f>45+72</f>
        <v>117</v>
      </c>
      <c r="U36" s="1">
        <v>2</v>
      </c>
      <c r="V36" s="1">
        <v>81</v>
      </c>
      <c r="W36" s="1">
        <v>2</v>
      </c>
      <c r="X36" s="1">
        <v>125</v>
      </c>
      <c r="Y36" s="19" t="s">
        <v>137</v>
      </c>
      <c r="Z36" s="19" t="s">
        <v>137</v>
      </c>
      <c r="AA36" s="19" t="s">
        <v>137</v>
      </c>
      <c r="AB36" s="19" t="s">
        <v>137</v>
      </c>
      <c r="AC36" s="20" t="s">
        <v>137</v>
      </c>
    </row>
    <row r="37" spans="4:29" ht="15" customHeight="1">
      <c r="D37" s="1" t="s">
        <v>131</v>
      </c>
      <c r="E37" s="42" t="s">
        <v>130</v>
      </c>
      <c r="F37" s="42"/>
      <c r="H37" s="18">
        <f t="shared" si="6"/>
        <v>529</v>
      </c>
      <c r="I37" s="7">
        <f t="shared" si="7"/>
        <v>7073</v>
      </c>
      <c r="J37" s="1">
        <v>75</v>
      </c>
      <c r="K37" s="1">
        <v>78</v>
      </c>
      <c r="L37" s="1">
        <v>156</v>
      </c>
      <c r="M37" s="1">
        <v>52</v>
      </c>
      <c r="N37" s="1">
        <v>156</v>
      </c>
      <c r="O37" s="1">
        <v>48</v>
      </c>
      <c r="P37" s="1">
        <v>192</v>
      </c>
      <c r="Q37" s="1">
        <v>67</v>
      </c>
      <c r="R37" s="1">
        <v>430</v>
      </c>
      <c r="S37" s="1">
        <f>83+67</f>
        <v>150</v>
      </c>
      <c r="T37" s="1">
        <f>1245+1609</f>
        <v>2854</v>
      </c>
      <c r="U37" s="1">
        <v>38</v>
      </c>
      <c r="V37" s="1">
        <v>1351</v>
      </c>
      <c r="W37" s="1">
        <v>19</v>
      </c>
      <c r="X37" s="1">
        <v>1175</v>
      </c>
      <c r="Y37" s="1">
        <v>1</v>
      </c>
      <c r="Z37" s="1">
        <v>213</v>
      </c>
      <c r="AA37" s="19">
        <v>1</v>
      </c>
      <c r="AB37" s="19">
        <v>471</v>
      </c>
      <c r="AC37" s="20" t="s">
        <v>137</v>
      </c>
    </row>
    <row r="38" spans="3:29" ht="30" customHeight="1">
      <c r="C38" s="42" t="s">
        <v>109</v>
      </c>
      <c r="D38" s="42"/>
      <c r="E38" s="42"/>
      <c r="F38" s="42"/>
      <c r="H38" s="18">
        <f aca="true" t="shared" si="8" ref="H38:AC38">SUM(H39:H40)</f>
        <v>2219</v>
      </c>
      <c r="I38" s="7">
        <f t="shared" si="8"/>
        <v>5124</v>
      </c>
      <c r="J38" s="7">
        <f t="shared" si="8"/>
        <v>1168</v>
      </c>
      <c r="K38" s="7">
        <f t="shared" si="8"/>
        <v>533</v>
      </c>
      <c r="L38" s="7">
        <f t="shared" si="8"/>
        <v>1066</v>
      </c>
      <c r="M38" s="7">
        <f t="shared" si="8"/>
        <v>218</v>
      </c>
      <c r="N38" s="7">
        <f t="shared" si="8"/>
        <v>654</v>
      </c>
      <c r="O38" s="7">
        <f t="shared" si="8"/>
        <v>112</v>
      </c>
      <c r="P38" s="7">
        <f t="shared" si="8"/>
        <v>448</v>
      </c>
      <c r="Q38" s="7">
        <f t="shared" si="8"/>
        <v>137</v>
      </c>
      <c r="R38" s="7">
        <f t="shared" si="8"/>
        <v>852</v>
      </c>
      <c r="S38" s="7">
        <f t="shared" si="8"/>
        <v>44</v>
      </c>
      <c r="T38" s="7">
        <f t="shared" si="8"/>
        <v>644</v>
      </c>
      <c r="U38" s="7">
        <f t="shared" si="8"/>
        <v>2</v>
      </c>
      <c r="V38" s="7">
        <f t="shared" si="8"/>
        <v>84</v>
      </c>
      <c r="W38" s="7">
        <f t="shared" si="8"/>
        <v>3</v>
      </c>
      <c r="X38" s="7">
        <f t="shared" si="8"/>
        <v>208</v>
      </c>
      <c r="Y38" s="19" t="s">
        <v>137</v>
      </c>
      <c r="Z38" s="19" t="s">
        <v>137</v>
      </c>
      <c r="AA38" s="19" t="s">
        <v>137</v>
      </c>
      <c r="AB38" s="19" t="s">
        <v>137</v>
      </c>
      <c r="AC38" s="7">
        <f t="shared" si="8"/>
        <v>2</v>
      </c>
    </row>
    <row r="39" spans="5:29" ht="15" customHeight="1">
      <c r="E39" s="42" t="s">
        <v>61</v>
      </c>
      <c r="F39" s="42"/>
      <c r="H39" s="18">
        <f>SUM(J39,K39,M39,O39,Q39,S39,U39,W39,Y39,AA39,AC39)</f>
        <v>599</v>
      </c>
      <c r="I39" s="7">
        <f>SUM(J39,L39,N39,P39,R39,T39,V39,X39,Z39,AB39)</f>
        <v>1942</v>
      </c>
      <c r="J39" s="1">
        <v>129</v>
      </c>
      <c r="K39" s="1">
        <v>223</v>
      </c>
      <c r="L39" s="1">
        <v>446</v>
      </c>
      <c r="M39" s="1">
        <v>112</v>
      </c>
      <c r="N39" s="1">
        <v>336</v>
      </c>
      <c r="O39" s="1">
        <v>49</v>
      </c>
      <c r="P39" s="1">
        <v>196</v>
      </c>
      <c r="Q39" s="1">
        <v>65</v>
      </c>
      <c r="R39" s="1">
        <v>386</v>
      </c>
      <c r="S39" s="1">
        <f>15+3</f>
        <v>18</v>
      </c>
      <c r="T39" s="1">
        <f>189+64</f>
        <v>253</v>
      </c>
      <c r="U39" s="1">
        <v>1</v>
      </c>
      <c r="V39" s="1">
        <v>49</v>
      </c>
      <c r="W39" s="1">
        <v>2</v>
      </c>
      <c r="X39" s="1">
        <v>147</v>
      </c>
      <c r="Y39" s="19" t="s">
        <v>137</v>
      </c>
      <c r="Z39" s="19" t="s">
        <v>137</v>
      </c>
      <c r="AA39" s="19" t="s">
        <v>137</v>
      </c>
      <c r="AB39" s="19" t="s">
        <v>137</v>
      </c>
      <c r="AC39" s="20" t="s">
        <v>137</v>
      </c>
    </row>
    <row r="40" spans="5:29" ht="15" customHeight="1">
      <c r="E40" s="42" t="s">
        <v>144</v>
      </c>
      <c r="F40" s="42"/>
      <c r="H40" s="18">
        <f>SUM(J40,K40,M40,O40,Q40,S40,U40,W40,Y40,AA40,AC40)</f>
        <v>1620</v>
      </c>
      <c r="I40" s="7">
        <f>SUM(J40,L40,N40,P40,R40,T40,V40,X40,Z40,AB40)</f>
        <v>3182</v>
      </c>
      <c r="J40" s="1">
        <v>1039</v>
      </c>
      <c r="K40" s="1">
        <v>310</v>
      </c>
      <c r="L40" s="1">
        <v>620</v>
      </c>
      <c r="M40" s="1">
        <v>106</v>
      </c>
      <c r="N40" s="1">
        <v>318</v>
      </c>
      <c r="O40" s="1">
        <v>63</v>
      </c>
      <c r="P40" s="1">
        <v>252</v>
      </c>
      <c r="Q40" s="1">
        <v>72</v>
      </c>
      <c r="R40" s="1">
        <v>466</v>
      </c>
      <c r="S40" s="1">
        <f>21+5</f>
        <v>26</v>
      </c>
      <c r="T40" s="1">
        <f>268+123</f>
        <v>391</v>
      </c>
      <c r="U40" s="1">
        <v>1</v>
      </c>
      <c r="V40" s="1">
        <v>35</v>
      </c>
      <c r="W40" s="19">
        <v>1</v>
      </c>
      <c r="X40" s="19">
        <v>61</v>
      </c>
      <c r="Y40" s="19" t="s">
        <v>137</v>
      </c>
      <c r="Z40" s="19" t="s">
        <v>137</v>
      </c>
      <c r="AA40" s="19" t="s">
        <v>137</v>
      </c>
      <c r="AB40" s="19" t="s">
        <v>137</v>
      </c>
      <c r="AC40" s="20">
        <v>2</v>
      </c>
    </row>
    <row r="41" spans="3:29" ht="30" customHeight="1">
      <c r="C41" s="42" t="s">
        <v>107</v>
      </c>
      <c r="D41" s="42"/>
      <c r="E41" s="42"/>
      <c r="F41" s="42"/>
      <c r="H41" s="18">
        <f aca="true" t="shared" si="9" ref="H41:AC41">SUM(H42:H68)</f>
        <v>21324</v>
      </c>
      <c r="I41" s="7">
        <f t="shared" si="9"/>
        <v>166495</v>
      </c>
      <c r="J41" s="7">
        <f t="shared" si="9"/>
        <v>6066</v>
      </c>
      <c r="K41" s="7">
        <f t="shared" si="9"/>
        <v>4365</v>
      </c>
      <c r="L41" s="7">
        <f t="shared" si="9"/>
        <v>8730</v>
      </c>
      <c r="M41" s="7">
        <f t="shared" si="9"/>
        <v>2270</v>
      </c>
      <c r="N41" s="7">
        <f t="shared" si="9"/>
        <v>6810</v>
      </c>
      <c r="O41" s="7">
        <f t="shared" si="9"/>
        <v>1565</v>
      </c>
      <c r="P41" s="7">
        <f t="shared" si="9"/>
        <v>6260</v>
      </c>
      <c r="Q41" s="7">
        <f t="shared" si="9"/>
        <v>3495</v>
      </c>
      <c r="R41" s="7">
        <f t="shared" si="9"/>
        <v>22708</v>
      </c>
      <c r="S41" s="7">
        <f t="shared" si="9"/>
        <v>2589</v>
      </c>
      <c r="T41" s="7">
        <f t="shared" si="9"/>
        <v>41105</v>
      </c>
      <c r="U41" s="7">
        <f t="shared" si="9"/>
        <v>448</v>
      </c>
      <c r="V41" s="7">
        <f t="shared" si="9"/>
        <v>16812</v>
      </c>
      <c r="W41" s="7">
        <f t="shared" si="9"/>
        <v>306</v>
      </c>
      <c r="X41" s="7">
        <f t="shared" si="9"/>
        <v>21084</v>
      </c>
      <c r="Y41" s="7">
        <f t="shared" si="9"/>
        <v>173</v>
      </c>
      <c r="Z41" s="7">
        <f t="shared" si="9"/>
        <v>27434</v>
      </c>
      <c r="AA41" s="7">
        <f t="shared" si="9"/>
        <v>20</v>
      </c>
      <c r="AB41" s="7">
        <f t="shared" si="9"/>
        <v>9486</v>
      </c>
      <c r="AC41" s="7">
        <f t="shared" si="9"/>
        <v>27</v>
      </c>
    </row>
    <row r="42" spans="5:29" ht="15" customHeight="1">
      <c r="E42" s="42" t="s">
        <v>62</v>
      </c>
      <c r="F42" s="42"/>
      <c r="H42" s="18">
        <f aca="true" t="shared" si="10" ref="H42:H51">SUM(J42,K42,M42,O42,Q42,S42,U42,W42,Y42,AA42,AC42)</f>
        <v>5346</v>
      </c>
      <c r="I42" s="7">
        <f aca="true" t="shared" si="11" ref="I42:I51">SUM(J42,L42,N42,P42,R42,T42,V42,X42,Z42,AB42)</f>
        <v>13768</v>
      </c>
      <c r="J42" s="1">
        <v>2386</v>
      </c>
      <c r="K42" s="1">
        <v>1643</v>
      </c>
      <c r="L42" s="1">
        <v>3286</v>
      </c>
      <c r="M42" s="1">
        <v>613</v>
      </c>
      <c r="N42" s="1">
        <v>1839</v>
      </c>
      <c r="O42" s="1">
        <v>268</v>
      </c>
      <c r="P42" s="1">
        <v>1072</v>
      </c>
      <c r="Q42" s="1">
        <v>287</v>
      </c>
      <c r="R42" s="1">
        <v>1765</v>
      </c>
      <c r="S42" s="1">
        <f>97+25</f>
        <v>122</v>
      </c>
      <c r="T42" s="1">
        <f>1244+585</f>
        <v>1829</v>
      </c>
      <c r="U42" s="1">
        <v>15</v>
      </c>
      <c r="V42" s="1">
        <v>549</v>
      </c>
      <c r="W42" s="1">
        <v>9</v>
      </c>
      <c r="X42" s="1">
        <v>605</v>
      </c>
      <c r="Y42" s="1">
        <v>3</v>
      </c>
      <c r="Z42" s="1">
        <f>230+207</f>
        <v>437</v>
      </c>
      <c r="AA42" s="19" t="s">
        <v>137</v>
      </c>
      <c r="AB42" s="19" t="s">
        <v>137</v>
      </c>
      <c r="AC42" s="20" t="s">
        <v>137</v>
      </c>
    </row>
    <row r="43" spans="5:29" ht="15" customHeight="1">
      <c r="E43" s="42" t="s">
        <v>63</v>
      </c>
      <c r="F43" s="42"/>
      <c r="H43" s="18">
        <f t="shared" si="10"/>
        <v>816</v>
      </c>
      <c r="I43" s="7">
        <f t="shared" si="11"/>
        <v>1506</v>
      </c>
      <c r="J43" s="1">
        <v>567</v>
      </c>
      <c r="K43" s="1">
        <v>132</v>
      </c>
      <c r="L43" s="1">
        <v>264</v>
      </c>
      <c r="M43" s="1">
        <v>31</v>
      </c>
      <c r="N43" s="1">
        <v>93</v>
      </c>
      <c r="O43" s="1">
        <v>26</v>
      </c>
      <c r="P43" s="1">
        <v>104</v>
      </c>
      <c r="Q43" s="1">
        <v>41</v>
      </c>
      <c r="R43" s="1">
        <v>271</v>
      </c>
      <c r="S43" s="1">
        <v>16</v>
      </c>
      <c r="T43" s="1">
        <f>180+27</f>
        <v>207</v>
      </c>
      <c r="U43" s="19" t="s">
        <v>137</v>
      </c>
      <c r="V43" s="19" t="s">
        <v>137</v>
      </c>
      <c r="W43" s="19" t="s">
        <v>137</v>
      </c>
      <c r="X43" s="19" t="s">
        <v>137</v>
      </c>
      <c r="Y43" s="19" t="s">
        <v>137</v>
      </c>
      <c r="Z43" s="19" t="s">
        <v>137</v>
      </c>
      <c r="AA43" s="19" t="s">
        <v>137</v>
      </c>
      <c r="AB43" s="19" t="s">
        <v>137</v>
      </c>
      <c r="AC43" s="20">
        <v>3</v>
      </c>
    </row>
    <row r="44" spans="5:29" ht="15" customHeight="1">
      <c r="E44" s="42" t="s">
        <v>64</v>
      </c>
      <c r="F44" s="42"/>
      <c r="H44" s="18">
        <f t="shared" si="10"/>
        <v>788</v>
      </c>
      <c r="I44" s="7">
        <f t="shared" si="11"/>
        <v>4038</v>
      </c>
      <c r="J44" s="1">
        <v>218</v>
      </c>
      <c r="K44" s="1">
        <v>190</v>
      </c>
      <c r="L44" s="1">
        <v>380</v>
      </c>
      <c r="M44" s="1">
        <v>96</v>
      </c>
      <c r="N44" s="1">
        <v>288</v>
      </c>
      <c r="O44" s="1">
        <v>71</v>
      </c>
      <c r="P44" s="1">
        <v>284</v>
      </c>
      <c r="Q44" s="1">
        <v>136</v>
      </c>
      <c r="R44" s="1">
        <v>819</v>
      </c>
      <c r="S44" s="1">
        <f>38+14</f>
        <v>52</v>
      </c>
      <c r="T44" s="1">
        <f>522+344</f>
        <v>866</v>
      </c>
      <c r="U44" s="1">
        <v>16</v>
      </c>
      <c r="V44" s="1">
        <v>593</v>
      </c>
      <c r="W44" s="1">
        <v>7</v>
      </c>
      <c r="X44" s="1">
        <v>481</v>
      </c>
      <c r="Y44" s="1">
        <v>1</v>
      </c>
      <c r="Z44" s="1">
        <v>109</v>
      </c>
      <c r="AA44" s="19" t="s">
        <v>137</v>
      </c>
      <c r="AB44" s="19" t="s">
        <v>137</v>
      </c>
      <c r="AC44" s="20">
        <v>1</v>
      </c>
    </row>
    <row r="45" spans="5:29" ht="15" customHeight="1">
      <c r="E45" s="42" t="s">
        <v>65</v>
      </c>
      <c r="F45" s="42"/>
      <c r="H45" s="18">
        <f t="shared" si="10"/>
        <v>1097</v>
      </c>
      <c r="I45" s="7">
        <f t="shared" si="11"/>
        <v>13625</v>
      </c>
      <c r="J45" s="1">
        <v>125</v>
      </c>
      <c r="K45" s="1">
        <v>215</v>
      </c>
      <c r="L45" s="1">
        <v>430</v>
      </c>
      <c r="M45" s="1">
        <v>146</v>
      </c>
      <c r="N45" s="1">
        <v>438</v>
      </c>
      <c r="O45" s="1">
        <v>88</v>
      </c>
      <c r="P45" s="1">
        <v>352</v>
      </c>
      <c r="Q45" s="1">
        <v>231</v>
      </c>
      <c r="R45" s="1">
        <v>1497</v>
      </c>
      <c r="S45" s="1">
        <f>142+43</f>
        <v>185</v>
      </c>
      <c r="T45" s="1">
        <f>1877+992</f>
        <v>2869</v>
      </c>
      <c r="U45" s="1">
        <v>35</v>
      </c>
      <c r="V45" s="1">
        <v>1321</v>
      </c>
      <c r="W45" s="1">
        <v>39</v>
      </c>
      <c r="X45" s="1">
        <v>2674</v>
      </c>
      <c r="Y45" s="1">
        <v>27</v>
      </c>
      <c r="Z45" s="1">
        <f>2768+1151</f>
        <v>3919</v>
      </c>
      <c r="AA45" s="19" t="s">
        <v>137</v>
      </c>
      <c r="AB45" s="19" t="s">
        <v>137</v>
      </c>
      <c r="AC45" s="20">
        <v>6</v>
      </c>
    </row>
    <row r="46" spans="5:29" ht="15" customHeight="1">
      <c r="E46" s="47" t="s">
        <v>135</v>
      </c>
      <c r="F46" s="47"/>
      <c r="H46" s="18">
        <f t="shared" si="10"/>
        <v>878</v>
      </c>
      <c r="I46" s="7">
        <f t="shared" si="11"/>
        <v>10066</v>
      </c>
      <c r="J46" s="1">
        <v>164</v>
      </c>
      <c r="K46" s="1">
        <v>136</v>
      </c>
      <c r="L46" s="1">
        <v>272</v>
      </c>
      <c r="M46" s="1">
        <v>96</v>
      </c>
      <c r="N46" s="1">
        <v>288</v>
      </c>
      <c r="O46" s="1">
        <v>54</v>
      </c>
      <c r="P46" s="1">
        <v>216</v>
      </c>
      <c r="Q46" s="1">
        <v>143</v>
      </c>
      <c r="R46" s="1">
        <v>971</v>
      </c>
      <c r="S46" s="1">
        <f>147+68</f>
        <v>215</v>
      </c>
      <c r="T46" s="1">
        <f>1919+1645</f>
        <v>3564</v>
      </c>
      <c r="U46" s="1">
        <v>44</v>
      </c>
      <c r="V46" s="1">
        <v>1613</v>
      </c>
      <c r="W46" s="1">
        <v>24</v>
      </c>
      <c r="X46" s="1">
        <v>1587</v>
      </c>
      <c r="Y46" s="1">
        <v>1</v>
      </c>
      <c r="Z46" s="1">
        <v>159</v>
      </c>
      <c r="AA46" s="1">
        <v>1</v>
      </c>
      <c r="AB46" s="1">
        <v>1232</v>
      </c>
      <c r="AC46" s="20" t="s">
        <v>137</v>
      </c>
    </row>
    <row r="47" spans="5:29" ht="15" customHeight="1">
      <c r="E47" s="42" t="s">
        <v>66</v>
      </c>
      <c r="F47" s="42"/>
      <c r="H47" s="18">
        <f t="shared" si="10"/>
        <v>795</v>
      </c>
      <c r="I47" s="7">
        <f t="shared" si="11"/>
        <v>3337</v>
      </c>
      <c r="J47" s="1">
        <v>89</v>
      </c>
      <c r="K47" s="1">
        <v>210</v>
      </c>
      <c r="L47" s="1">
        <v>420</v>
      </c>
      <c r="M47" s="1">
        <v>173</v>
      </c>
      <c r="N47" s="1">
        <v>519</v>
      </c>
      <c r="O47" s="1">
        <v>90</v>
      </c>
      <c r="P47" s="1">
        <v>360</v>
      </c>
      <c r="Q47" s="1">
        <v>172</v>
      </c>
      <c r="R47" s="1">
        <v>1116</v>
      </c>
      <c r="S47" s="1">
        <f>57+2</f>
        <v>59</v>
      </c>
      <c r="T47" s="1">
        <f>723+42</f>
        <v>765</v>
      </c>
      <c r="U47" s="1">
        <v>2</v>
      </c>
      <c r="V47" s="1">
        <v>68</v>
      </c>
      <c r="W47" s="19" t="s">
        <v>137</v>
      </c>
      <c r="X47" s="19" t="s">
        <v>137</v>
      </c>
      <c r="Y47" s="19" t="s">
        <v>137</v>
      </c>
      <c r="Z47" s="19" t="s">
        <v>137</v>
      </c>
      <c r="AA47" s="19" t="s">
        <v>137</v>
      </c>
      <c r="AB47" s="19" t="s">
        <v>137</v>
      </c>
      <c r="AC47" s="20" t="s">
        <v>137</v>
      </c>
    </row>
    <row r="48" spans="4:29" ht="15" customHeight="1">
      <c r="D48" s="1" t="s">
        <v>129</v>
      </c>
      <c r="E48" s="42" t="s">
        <v>133</v>
      </c>
      <c r="F48" s="42"/>
      <c r="H48" s="18">
        <f t="shared" si="10"/>
        <v>444</v>
      </c>
      <c r="I48" s="7">
        <f t="shared" si="11"/>
        <v>2404</v>
      </c>
      <c r="J48" s="1">
        <v>98</v>
      </c>
      <c r="K48" s="1">
        <v>143</v>
      </c>
      <c r="L48" s="1">
        <v>286</v>
      </c>
      <c r="M48" s="1">
        <v>59</v>
      </c>
      <c r="N48" s="1">
        <v>177</v>
      </c>
      <c r="O48" s="1">
        <v>33</v>
      </c>
      <c r="P48" s="1">
        <v>132</v>
      </c>
      <c r="Q48" s="1">
        <v>56</v>
      </c>
      <c r="R48" s="1">
        <v>351</v>
      </c>
      <c r="S48" s="1">
        <f>37+9</f>
        <v>46</v>
      </c>
      <c r="T48" s="1">
        <f>474+223</f>
        <v>697</v>
      </c>
      <c r="U48" s="1">
        <v>6</v>
      </c>
      <c r="V48" s="1">
        <v>271</v>
      </c>
      <c r="W48" s="19">
        <v>2</v>
      </c>
      <c r="X48" s="19">
        <v>132</v>
      </c>
      <c r="Y48" s="19">
        <v>1</v>
      </c>
      <c r="Z48" s="19">
        <v>260</v>
      </c>
      <c r="AA48" s="19" t="s">
        <v>137</v>
      </c>
      <c r="AB48" s="19" t="s">
        <v>137</v>
      </c>
      <c r="AC48" s="20" t="s">
        <v>137</v>
      </c>
    </row>
    <row r="49" spans="5:29" ht="15" customHeight="1">
      <c r="E49" s="42" t="s">
        <v>67</v>
      </c>
      <c r="F49" s="42"/>
      <c r="H49" s="18">
        <f t="shared" si="10"/>
        <v>409</v>
      </c>
      <c r="I49" s="7">
        <f t="shared" si="11"/>
        <v>2216</v>
      </c>
      <c r="J49" s="1">
        <v>58</v>
      </c>
      <c r="K49" s="1">
        <v>71</v>
      </c>
      <c r="L49" s="1">
        <v>142</v>
      </c>
      <c r="M49" s="1">
        <v>66</v>
      </c>
      <c r="N49" s="1">
        <v>198</v>
      </c>
      <c r="O49" s="1">
        <v>52</v>
      </c>
      <c r="P49" s="1">
        <v>208</v>
      </c>
      <c r="Q49" s="1">
        <v>106</v>
      </c>
      <c r="R49" s="1">
        <v>689</v>
      </c>
      <c r="S49" s="1">
        <f>41+12</f>
        <v>53</v>
      </c>
      <c r="T49" s="1">
        <f>527+278</f>
        <v>805</v>
      </c>
      <c r="U49" s="1">
        <v>2</v>
      </c>
      <c r="V49" s="1">
        <v>64</v>
      </c>
      <c r="W49" s="19">
        <v>1</v>
      </c>
      <c r="X49" s="19">
        <v>52</v>
      </c>
      <c r="Y49" s="19" t="s">
        <v>137</v>
      </c>
      <c r="Z49" s="19" t="s">
        <v>137</v>
      </c>
      <c r="AA49" s="19" t="s">
        <v>137</v>
      </c>
      <c r="AB49" s="19" t="s">
        <v>137</v>
      </c>
      <c r="AC49" s="20" t="s">
        <v>137</v>
      </c>
    </row>
    <row r="50" spans="5:29" ht="15" customHeight="1">
      <c r="E50" s="42" t="s">
        <v>68</v>
      </c>
      <c r="F50" s="42"/>
      <c r="H50" s="18">
        <f t="shared" si="10"/>
        <v>20</v>
      </c>
      <c r="I50" s="7">
        <f t="shared" si="11"/>
        <v>114</v>
      </c>
      <c r="J50" s="22">
        <v>6</v>
      </c>
      <c r="K50" s="22">
        <v>3</v>
      </c>
      <c r="L50" s="22">
        <v>6</v>
      </c>
      <c r="M50" s="22">
        <v>2</v>
      </c>
      <c r="N50" s="22">
        <v>6</v>
      </c>
      <c r="O50" s="22">
        <v>5</v>
      </c>
      <c r="P50" s="22">
        <v>20</v>
      </c>
      <c r="Q50" s="1">
        <v>1</v>
      </c>
      <c r="R50" s="1">
        <v>7</v>
      </c>
      <c r="S50" s="1">
        <f>2</f>
        <v>2</v>
      </c>
      <c r="T50" s="1">
        <v>30</v>
      </c>
      <c r="U50" s="19">
        <v>1</v>
      </c>
      <c r="V50" s="19">
        <v>39</v>
      </c>
      <c r="W50" s="19" t="s">
        <v>137</v>
      </c>
      <c r="X50" s="19" t="s">
        <v>137</v>
      </c>
      <c r="Y50" s="19" t="s">
        <v>137</v>
      </c>
      <c r="Z50" s="19" t="s">
        <v>137</v>
      </c>
      <c r="AA50" s="19" t="s">
        <v>137</v>
      </c>
      <c r="AB50" s="19" t="s">
        <v>137</v>
      </c>
      <c r="AC50" s="20" t="s">
        <v>137</v>
      </c>
    </row>
    <row r="51" spans="5:29" ht="15" customHeight="1">
      <c r="E51" s="42" t="s">
        <v>69</v>
      </c>
      <c r="F51" s="42"/>
      <c r="H51" s="18">
        <f t="shared" si="10"/>
        <v>32</v>
      </c>
      <c r="I51" s="7">
        <f t="shared" si="11"/>
        <v>1071</v>
      </c>
      <c r="J51" s="1">
        <v>3</v>
      </c>
      <c r="K51" s="1">
        <v>1</v>
      </c>
      <c r="L51" s="1">
        <v>2</v>
      </c>
      <c r="M51" s="22">
        <v>1</v>
      </c>
      <c r="N51" s="22">
        <v>3</v>
      </c>
      <c r="O51" s="1">
        <v>1</v>
      </c>
      <c r="P51" s="1">
        <v>4</v>
      </c>
      <c r="Q51" s="1">
        <v>8</v>
      </c>
      <c r="R51" s="1">
        <v>55</v>
      </c>
      <c r="S51" s="1">
        <f>6+3</f>
        <v>9</v>
      </c>
      <c r="T51" s="1">
        <f>79+69</f>
        <v>148</v>
      </c>
      <c r="U51" s="1">
        <v>3</v>
      </c>
      <c r="V51" s="1">
        <v>121</v>
      </c>
      <c r="W51" s="1">
        <v>3</v>
      </c>
      <c r="X51" s="1">
        <v>229</v>
      </c>
      <c r="Y51" s="1">
        <v>3</v>
      </c>
      <c r="Z51" s="1">
        <f>275+231</f>
        <v>506</v>
      </c>
      <c r="AA51" s="19" t="s">
        <v>137</v>
      </c>
      <c r="AB51" s="19" t="s">
        <v>137</v>
      </c>
      <c r="AC51" s="20" t="s">
        <v>137</v>
      </c>
    </row>
    <row r="52" spans="6:29" ht="15" customHeight="1">
      <c r="F52" s="21"/>
      <c r="H52" s="18"/>
      <c r="I52" s="7"/>
      <c r="M52" s="22"/>
      <c r="N52" s="22"/>
      <c r="AA52" s="19"/>
      <c r="AB52" s="19"/>
      <c r="AC52" s="20"/>
    </row>
    <row r="53" spans="5:29" ht="15" customHeight="1">
      <c r="E53" s="42" t="s">
        <v>70</v>
      </c>
      <c r="F53" s="42"/>
      <c r="H53" s="18">
        <f aca="true" t="shared" si="12" ref="H53:H63">SUM(J53,K53,M53,O53,Q53,S53,U53,W53,Y53,AA53,AC53)</f>
        <v>171</v>
      </c>
      <c r="I53" s="7">
        <f>SUM(J53,L53,N53,P53,R53,T53,V53,X53,Z53,AB53)</f>
        <v>2206</v>
      </c>
      <c r="J53" s="1">
        <v>37</v>
      </c>
      <c r="K53" s="1">
        <v>9</v>
      </c>
      <c r="L53" s="1">
        <v>18</v>
      </c>
      <c r="M53" s="1">
        <v>17</v>
      </c>
      <c r="N53" s="1">
        <v>51</v>
      </c>
      <c r="O53" s="1">
        <v>12</v>
      </c>
      <c r="P53" s="1">
        <v>48</v>
      </c>
      <c r="Q53" s="1">
        <v>36</v>
      </c>
      <c r="R53" s="1">
        <v>251</v>
      </c>
      <c r="S53" s="1">
        <f>36+9</f>
        <v>45</v>
      </c>
      <c r="T53" s="1">
        <f>496+221</f>
        <v>717</v>
      </c>
      <c r="U53" s="1">
        <v>7</v>
      </c>
      <c r="V53" s="1">
        <v>233</v>
      </c>
      <c r="W53" s="1">
        <v>5</v>
      </c>
      <c r="X53" s="1">
        <v>342</v>
      </c>
      <c r="Y53" s="1">
        <v>3</v>
      </c>
      <c r="Z53" s="1">
        <f>301+208</f>
        <v>509</v>
      </c>
      <c r="AA53" s="19" t="s">
        <v>137</v>
      </c>
      <c r="AB53" s="19" t="s">
        <v>137</v>
      </c>
      <c r="AC53" s="20" t="s">
        <v>137</v>
      </c>
    </row>
    <row r="54" spans="5:29" ht="15" customHeight="1">
      <c r="E54" s="42" t="s">
        <v>71</v>
      </c>
      <c r="F54" s="42"/>
      <c r="H54" s="18">
        <f t="shared" si="12"/>
        <v>85</v>
      </c>
      <c r="I54" s="7">
        <f>SUM(J54,L54,N54,P54,R54,T54,V54,X54,Z54,AB54)</f>
        <v>890</v>
      </c>
      <c r="J54" s="1">
        <v>7</v>
      </c>
      <c r="K54" s="1">
        <v>15</v>
      </c>
      <c r="L54" s="1">
        <v>30</v>
      </c>
      <c r="M54" s="1">
        <v>11</v>
      </c>
      <c r="N54" s="1">
        <v>33</v>
      </c>
      <c r="O54" s="1">
        <v>6</v>
      </c>
      <c r="P54" s="1">
        <v>24</v>
      </c>
      <c r="Q54" s="1">
        <v>29</v>
      </c>
      <c r="R54" s="1">
        <v>192</v>
      </c>
      <c r="S54" s="1">
        <f>11+3</f>
        <v>14</v>
      </c>
      <c r="T54" s="1">
        <f>137+71</f>
        <v>208</v>
      </c>
      <c r="U54" s="19">
        <v>1</v>
      </c>
      <c r="V54" s="19">
        <v>40</v>
      </c>
      <c r="W54" s="19" t="s">
        <v>137</v>
      </c>
      <c r="X54" s="19" t="s">
        <v>137</v>
      </c>
      <c r="Y54" s="19">
        <v>2</v>
      </c>
      <c r="Z54" s="19">
        <f>105+251</f>
        <v>356</v>
      </c>
      <c r="AA54" s="19" t="s">
        <v>137</v>
      </c>
      <c r="AB54" s="19" t="s">
        <v>137</v>
      </c>
      <c r="AC54" s="20" t="s">
        <v>137</v>
      </c>
    </row>
    <row r="55" spans="5:29" ht="15" customHeight="1">
      <c r="E55" s="42" t="s">
        <v>72</v>
      </c>
      <c r="F55" s="42"/>
      <c r="H55" s="18">
        <f t="shared" si="12"/>
        <v>2948</v>
      </c>
      <c r="I55" s="7">
        <f>SUM(J55,L55,N55,P55,R55,T55,V55,X55,Z55,AB55)</f>
        <v>13410</v>
      </c>
      <c r="J55" s="1">
        <v>1035</v>
      </c>
      <c r="K55" s="1">
        <v>598</v>
      </c>
      <c r="L55" s="1">
        <v>1196</v>
      </c>
      <c r="M55" s="1">
        <v>355</v>
      </c>
      <c r="N55" s="1">
        <v>1065</v>
      </c>
      <c r="O55" s="1">
        <v>239</v>
      </c>
      <c r="P55" s="1">
        <v>956</v>
      </c>
      <c r="Q55" s="1">
        <v>461</v>
      </c>
      <c r="R55" s="1">
        <v>2955</v>
      </c>
      <c r="S55" s="1">
        <f>174+35</f>
        <v>209</v>
      </c>
      <c r="T55" s="1">
        <f>2233+835</f>
        <v>3068</v>
      </c>
      <c r="U55" s="1">
        <v>30</v>
      </c>
      <c r="V55" s="1">
        <v>1079</v>
      </c>
      <c r="W55" s="1">
        <v>14</v>
      </c>
      <c r="X55" s="1">
        <v>906</v>
      </c>
      <c r="Y55" s="1">
        <v>3</v>
      </c>
      <c r="Z55" s="1">
        <v>482</v>
      </c>
      <c r="AA55" s="1">
        <v>1</v>
      </c>
      <c r="AB55" s="1">
        <v>668</v>
      </c>
      <c r="AC55" s="20">
        <v>3</v>
      </c>
    </row>
    <row r="56" spans="6:29" ht="15" customHeight="1">
      <c r="F56" s="21" t="s">
        <v>73</v>
      </c>
      <c r="H56" s="18"/>
      <c r="I56" s="7"/>
      <c r="AC56" s="20"/>
    </row>
    <row r="57" spans="5:29" ht="15" customHeight="1">
      <c r="E57" s="48" t="s">
        <v>74</v>
      </c>
      <c r="F57" s="48"/>
      <c r="H57" s="18">
        <f t="shared" si="12"/>
        <v>594</v>
      </c>
      <c r="I57" s="7">
        <f aca="true" t="shared" si="13" ref="I57:I63">SUM(J57,L57,N57,P57,R57,T57,V57,X57,Z57,AB57)</f>
        <v>7115</v>
      </c>
      <c r="J57" s="1">
        <v>98</v>
      </c>
      <c r="K57" s="1">
        <v>77</v>
      </c>
      <c r="L57" s="1">
        <v>154</v>
      </c>
      <c r="M57" s="1">
        <v>37</v>
      </c>
      <c r="N57" s="1">
        <v>111</v>
      </c>
      <c r="O57" s="1">
        <v>28</v>
      </c>
      <c r="P57" s="1">
        <v>112</v>
      </c>
      <c r="Q57" s="1">
        <v>143</v>
      </c>
      <c r="R57" s="1">
        <v>995</v>
      </c>
      <c r="S57" s="1">
        <f>125+42</f>
        <v>167</v>
      </c>
      <c r="T57" s="1">
        <f>1734+972</f>
        <v>2706</v>
      </c>
      <c r="U57" s="1">
        <v>22</v>
      </c>
      <c r="V57" s="1">
        <v>850</v>
      </c>
      <c r="W57" s="1">
        <v>14</v>
      </c>
      <c r="X57" s="1">
        <v>964</v>
      </c>
      <c r="Y57" s="1">
        <v>8</v>
      </c>
      <c r="Z57" s="1">
        <f>663+462</f>
        <v>1125</v>
      </c>
      <c r="AA57" s="19" t="s">
        <v>137</v>
      </c>
      <c r="AB57" s="19" t="s">
        <v>137</v>
      </c>
      <c r="AC57" s="20" t="s">
        <v>137</v>
      </c>
    </row>
    <row r="58" spans="5:29" ht="15" customHeight="1">
      <c r="E58" s="42" t="s">
        <v>75</v>
      </c>
      <c r="F58" s="42"/>
      <c r="H58" s="18">
        <f t="shared" si="12"/>
        <v>717</v>
      </c>
      <c r="I58" s="7">
        <f t="shared" si="13"/>
        <v>14550</v>
      </c>
      <c r="J58" s="1">
        <v>135</v>
      </c>
      <c r="K58" s="1">
        <v>84</v>
      </c>
      <c r="L58" s="1">
        <v>168</v>
      </c>
      <c r="M58" s="1">
        <v>49</v>
      </c>
      <c r="N58" s="1">
        <v>147</v>
      </c>
      <c r="O58" s="1">
        <v>46</v>
      </c>
      <c r="P58" s="1">
        <v>184</v>
      </c>
      <c r="Q58" s="1">
        <v>127</v>
      </c>
      <c r="R58" s="1">
        <v>827</v>
      </c>
      <c r="S58" s="1">
        <f>108+52</f>
        <v>160</v>
      </c>
      <c r="T58" s="1">
        <f>1422+1261</f>
        <v>2683</v>
      </c>
      <c r="U58" s="1">
        <v>51</v>
      </c>
      <c r="V58" s="1">
        <v>1984</v>
      </c>
      <c r="W58" s="1">
        <v>37</v>
      </c>
      <c r="X58" s="1">
        <v>2695</v>
      </c>
      <c r="Y58" s="1">
        <v>19</v>
      </c>
      <c r="Z58" s="1">
        <f>1723+1400</f>
        <v>3123</v>
      </c>
      <c r="AA58" s="1">
        <v>6</v>
      </c>
      <c r="AB58" s="1">
        <v>2604</v>
      </c>
      <c r="AC58" s="20">
        <v>3</v>
      </c>
    </row>
    <row r="59" spans="5:29" ht="15" customHeight="1">
      <c r="E59" s="42" t="s">
        <v>76</v>
      </c>
      <c r="F59" s="42"/>
      <c r="H59" s="18">
        <f t="shared" si="12"/>
        <v>201</v>
      </c>
      <c r="I59" s="7">
        <f t="shared" si="13"/>
        <v>2025</v>
      </c>
      <c r="J59" s="1">
        <v>10</v>
      </c>
      <c r="K59" s="1">
        <v>17</v>
      </c>
      <c r="L59" s="1">
        <v>34</v>
      </c>
      <c r="M59" s="1">
        <v>20</v>
      </c>
      <c r="N59" s="1">
        <v>60</v>
      </c>
      <c r="O59" s="1">
        <v>20</v>
      </c>
      <c r="P59" s="1">
        <v>80</v>
      </c>
      <c r="Q59" s="1">
        <v>69</v>
      </c>
      <c r="R59" s="1">
        <v>470</v>
      </c>
      <c r="S59" s="1">
        <f>46+7</f>
        <v>53</v>
      </c>
      <c r="T59" s="1">
        <f>595+162</f>
        <v>757</v>
      </c>
      <c r="U59" s="1">
        <v>10</v>
      </c>
      <c r="V59" s="1">
        <v>342</v>
      </c>
      <c r="W59" s="1">
        <v>1</v>
      </c>
      <c r="X59" s="1">
        <v>72</v>
      </c>
      <c r="Y59" s="1">
        <v>1</v>
      </c>
      <c r="Z59" s="1">
        <v>200</v>
      </c>
      <c r="AA59" s="19" t="s">
        <v>137</v>
      </c>
      <c r="AB59" s="19" t="s">
        <v>137</v>
      </c>
      <c r="AC59" s="20" t="s">
        <v>137</v>
      </c>
    </row>
    <row r="60" spans="5:29" ht="15" customHeight="1">
      <c r="E60" s="42" t="s">
        <v>77</v>
      </c>
      <c r="F60" s="42"/>
      <c r="H60" s="18">
        <f t="shared" si="12"/>
        <v>2881</v>
      </c>
      <c r="I60" s="7">
        <f t="shared" si="13"/>
        <v>41983</v>
      </c>
      <c r="J60" s="1">
        <v>390</v>
      </c>
      <c r="K60" s="1">
        <v>296</v>
      </c>
      <c r="L60" s="1">
        <v>592</v>
      </c>
      <c r="M60" s="1">
        <v>218</v>
      </c>
      <c r="N60" s="1">
        <v>654</v>
      </c>
      <c r="O60" s="1">
        <v>288</v>
      </c>
      <c r="P60" s="1">
        <v>1152</v>
      </c>
      <c r="Q60" s="1">
        <v>935</v>
      </c>
      <c r="R60" s="1">
        <v>6118</v>
      </c>
      <c r="S60" s="1">
        <f>428+103</f>
        <v>531</v>
      </c>
      <c r="T60" s="1">
        <f>5737+2421</f>
        <v>8158</v>
      </c>
      <c r="U60" s="1">
        <v>54</v>
      </c>
      <c r="V60" s="1">
        <v>2047</v>
      </c>
      <c r="W60" s="1">
        <v>76</v>
      </c>
      <c r="X60" s="1">
        <v>5323</v>
      </c>
      <c r="Y60" s="1">
        <f>61+21</f>
        <v>82</v>
      </c>
      <c r="Z60" s="1">
        <f>8387+4915</f>
        <v>13302</v>
      </c>
      <c r="AA60" s="1">
        <v>10</v>
      </c>
      <c r="AB60" s="1">
        <v>4247</v>
      </c>
      <c r="AC60" s="20">
        <v>1</v>
      </c>
    </row>
    <row r="61" spans="5:29" ht="15" customHeight="1">
      <c r="E61" s="42" t="s">
        <v>78</v>
      </c>
      <c r="F61" s="42"/>
      <c r="H61" s="18">
        <f t="shared" si="12"/>
        <v>16</v>
      </c>
      <c r="I61" s="7">
        <f t="shared" si="13"/>
        <v>334</v>
      </c>
      <c r="J61" s="1">
        <v>3</v>
      </c>
      <c r="K61" s="1">
        <v>3</v>
      </c>
      <c r="L61" s="1">
        <v>6</v>
      </c>
      <c r="M61" s="1">
        <v>1</v>
      </c>
      <c r="N61" s="1">
        <v>3</v>
      </c>
      <c r="O61" s="19" t="s">
        <v>137</v>
      </c>
      <c r="P61" s="19" t="s">
        <v>137</v>
      </c>
      <c r="Q61" s="1">
        <v>2</v>
      </c>
      <c r="R61" s="1">
        <v>13</v>
      </c>
      <c r="S61" s="1">
        <f>4+1</f>
        <v>5</v>
      </c>
      <c r="T61" s="1">
        <f>51+20</f>
        <v>71</v>
      </c>
      <c r="U61" s="1">
        <v>1</v>
      </c>
      <c r="V61" s="1">
        <v>42</v>
      </c>
      <c r="W61" s="19" t="s">
        <v>137</v>
      </c>
      <c r="X61" s="19" t="s">
        <v>137</v>
      </c>
      <c r="Y61" s="19">
        <v>1</v>
      </c>
      <c r="Z61" s="19">
        <f>196</f>
        <v>196</v>
      </c>
      <c r="AA61" s="19" t="s">
        <v>137</v>
      </c>
      <c r="AB61" s="19" t="s">
        <v>137</v>
      </c>
      <c r="AC61" s="20" t="s">
        <v>137</v>
      </c>
    </row>
    <row r="62" spans="5:29" ht="15" customHeight="1">
      <c r="E62" s="42" t="s">
        <v>79</v>
      </c>
      <c r="F62" s="42"/>
      <c r="H62" s="18">
        <f t="shared" si="12"/>
        <v>936</v>
      </c>
      <c r="I62" s="7">
        <f t="shared" si="13"/>
        <v>17590</v>
      </c>
      <c r="J62" s="1">
        <v>31</v>
      </c>
      <c r="K62" s="1">
        <v>41</v>
      </c>
      <c r="L62" s="1">
        <v>82</v>
      </c>
      <c r="M62" s="1">
        <v>28</v>
      </c>
      <c r="N62" s="1">
        <v>84</v>
      </c>
      <c r="O62" s="1">
        <v>41</v>
      </c>
      <c r="P62" s="1">
        <v>164</v>
      </c>
      <c r="Q62" s="1">
        <v>184</v>
      </c>
      <c r="R62" s="1">
        <v>1270</v>
      </c>
      <c r="S62" s="1">
        <f>307+138</f>
        <v>445</v>
      </c>
      <c r="T62" s="1">
        <f>4405+3296</f>
        <v>7701</v>
      </c>
      <c r="U62" s="1">
        <v>116</v>
      </c>
      <c r="V62" s="1">
        <v>4375</v>
      </c>
      <c r="W62" s="1">
        <v>44</v>
      </c>
      <c r="X62" s="1">
        <v>2888</v>
      </c>
      <c r="Y62" s="1">
        <v>6</v>
      </c>
      <c r="Z62" s="1">
        <f>527+468</f>
        <v>995</v>
      </c>
      <c r="AA62" s="19" t="s">
        <v>137</v>
      </c>
      <c r="AB62" s="19" t="s">
        <v>137</v>
      </c>
      <c r="AC62" s="20" t="s">
        <v>137</v>
      </c>
    </row>
    <row r="63" spans="5:29" ht="15" customHeight="1">
      <c r="E63" s="42" t="s">
        <v>80</v>
      </c>
      <c r="F63" s="42"/>
      <c r="H63" s="18">
        <f t="shared" si="12"/>
        <v>318</v>
      </c>
      <c r="I63" s="7">
        <f t="shared" si="13"/>
        <v>6693</v>
      </c>
      <c r="J63" s="1">
        <v>15</v>
      </c>
      <c r="K63" s="1">
        <v>12</v>
      </c>
      <c r="L63" s="1">
        <v>24</v>
      </c>
      <c r="M63" s="1">
        <v>12</v>
      </c>
      <c r="N63" s="1">
        <v>36</v>
      </c>
      <c r="O63" s="1">
        <v>14</v>
      </c>
      <c r="P63" s="1">
        <v>56</v>
      </c>
      <c r="Q63" s="1">
        <v>84</v>
      </c>
      <c r="R63" s="1">
        <v>589</v>
      </c>
      <c r="S63" s="1">
        <f>89+38</f>
        <v>127</v>
      </c>
      <c r="T63" s="1">
        <f>1215+903</f>
        <v>2118</v>
      </c>
      <c r="U63" s="1">
        <v>19</v>
      </c>
      <c r="V63" s="1">
        <v>709</v>
      </c>
      <c r="W63" s="1">
        <v>25</v>
      </c>
      <c r="X63" s="1">
        <v>1800</v>
      </c>
      <c r="Y63" s="1">
        <v>10</v>
      </c>
      <c r="Z63" s="1">
        <f>1093+253</f>
        <v>1346</v>
      </c>
      <c r="AA63" s="19" t="s">
        <v>137</v>
      </c>
      <c r="AB63" s="19" t="s">
        <v>137</v>
      </c>
      <c r="AC63" s="20" t="s">
        <v>137</v>
      </c>
    </row>
    <row r="64" spans="6:28" ht="15" customHeight="1">
      <c r="F64" s="21"/>
      <c r="H64" s="18"/>
      <c r="I64" s="7"/>
      <c r="AA64" s="19"/>
      <c r="AB64" s="19"/>
    </row>
    <row r="65" spans="5:29" ht="15" customHeight="1">
      <c r="E65" s="42" t="s">
        <v>81</v>
      </c>
      <c r="F65" s="42"/>
      <c r="H65" s="18">
        <f>SUM(J65,K65,M65,O65,Q65,S65,U65,W65,Y65,AA65,AC65)</f>
        <v>9</v>
      </c>
      <c r="I65" s="7">
        <f>SUM(J65,L65,N65,P65,R65,T65,V65,X65,Z65,AB65)</f>
        <v>921</v>
      </c>
      <c r="J65" s="19" t="s">
        <v>137</v>
      </c>
      <c r="K65" s="19" t="s">
        <v>137</v>
      </c>
      <c r="L65" s="19" t="s">
        <v>137</v>
      </c>
      <c r="M65" s="19" t="s">
        <v>137</v>
      </c>
      <c r="N65" s="19" t="s">
        <v>137</v>
      </c>
      <c r="O65" s="19" t="s">
        <v>137</v>
      </c>
      <c r="P65" s="19" t="s">
        <v>137</v>
      </c>
      <c r="Q65" s="1">
        <v>2</v>
      </c>
      <c r="R65" s="1">
        <v>11</v>
      </c>
      <c r="S65" s="19" t="s">
        <v>137</v>
      </c>
      <c r="T65" s="19" t="s">
        <v>137</v>
      </c>
      <c r="U65" s="19">
        <v>3</v>
      </c>
      <c r="V65" s="19">
        <v>110</v>
      </c>
      <c r="W65" s="19">
        <v>1</v>
      </c>
      <c r="X65" s="19">
        <v>65</v>
      </c>
      <c r="Y65" s="19" t="s">
        <v>137</v>
      </c>
      <c r="Z65" s="19" t="s">
        <v>137</v>
      </c>
      <c r="AA65" s="1">
        <v>2</v>
      </c>
      <c r="AB65" s="1">
        <v>735</v>
      </c>
      <c r="AC65" s="1">
        <v>1</v>
      </c>
    </row>
    <row r="66" spans="5:29" ht="15" customHeight="1">
      <c r="E66" s="42" t="s">
        <v>82</v>
      </c>
      <c r="F66" s="42"/>
      <c r="H66" s="18">
        <f>SUM(J66,K66,M66,O66,Q66,S66,U66,W66,Y66,AA66,AC66)</f>
        <v>1131</v>
      </c>
      <c r="I66" s="7">
        <f>SUM(J66,L66,N66,P66,R66,T66,V66,X66,Z66,AB66)</f>
        <v>3374</v>
      </c>
      <c r="J66" s="1">
        <v>360</v>
      </c>
      <c r="K66" s="1">
        <v>320</v>
      </c>
      <c r="L66" s="1">
        <v>640</v>
      </c>
      <c r="M66" s="1">
        <v>156</v>
      </c>
      <c r="N66" s="1">
        <v>468</v>
      </c>
      <c r="O66" s="1">
        <v>127</v>
      </c>
      <c r="P66" s="1">
        <v>508</v>
      </c>
      <c r="Q66" s="1">
        <v>132</v>
      </c>
      <c r="R66" s="1">
        <v>814</v>
      </c>
      <c r="S66" s="1">
        <f>21+9</f>
        <v>30</v>
      </c>
      <c r="T66" s="1">
        <f>264+202</f>
        <v>466</v>
      </c>
      <c r="U66" s="1">
        <v>1</v>
      </c>
      <c r="V66" s="1">
        <v>30</v>
      </c>
      <c r="W66" s="1">
        <v>1</v>
      </c>
      <c r="X66" s="1">
        <v>88</v>
      </c>
      <c r="Y66" s="19" t="s">
        <v>137</v>
      </c>
      <c r="Z66" s="19" t="s">
        <v>137</v>
      </c>
      <c r="AA66" s="19" t="s">
        <v>137</v>
      </c>
      <c r="AB66" s="19" t="s">
        <v>137</v>
      </c>
      <c r="AC66" s="1">
        <v>4</v>
      </c>
    </row>
    <row r="67" spans="5:29" ht="15" customHeight="1">
      <c r="E67" s="42" t="s">
        <v>83</v>
      </c>
      <c r="F67" s="42"/>
      <c r="H67" s="18">
        <f>SUM(J67,K67,M67,O67,Q67,S67,U67,W67,Y67,AA67,AC67)</f>
        <v>669</v>
      </c>
      <c r="I67" s="7">
        <f>SUM(J67,L67,N67,P67,R67,T67,V67,X67,Z67,AB67)</f>
        <v>3157</v>
      </c>
      <c r="J67" s="1">
        <v>221</v>
      </c>
      <c r="K67" s="1">
        <v>143</v>
      </c>
      <c r="L67" s="1">
        <v>286</v>
      </c>
      <c r="M67" s="1">
        <v>82</v>
      </c>
      <c r="N67" s="1">
        <v>246</v>
      </c>
      <c r="O67" s="1">
        <v>54</v>
      </c>
      <c r="P67" s="1">
        <v>216</v>
      </c>
      <c r="Q67" s="1">
        <v>109</v>
      </c>
      <c r="R67" s="1">
        <v>654</v>
      </c>
      <c r="S67" s="1">
        <f>33+10</f>
        <v>43</v>
      </c>
      <c r="T67" s="1">
        <f>439+222</f>
        <v>661</v>
      </c>
      <c r="U67" s="1">
        <v>9</v>
      </c>
      <c r="V67" s="1">
        <v>332</v>
      </c>
      <c r="W67" s="19">
        <v>2</v>
      </c>
      <c r="X67" s="19">
        <v>131</v>
      </c>
      <c r="Y67" s="1">
        <v>2</v>
      </c>
      <c r="Z67" s="1">
        <f>199+211</f>
        <v>410</v>
      </c>
      <c r="AA67" s="19" t="s">
        <v>137</v>
      </c>
      <c r="AB67" s="19" t="s">
        <v>137</v>
      </c>
      <c r="AC67" s="1">
        <v>4</v>
      </c>
    </row>
    <row r="68" spans="1:29" ht="15" customHeight="1" thickBot="1">
      <c r="A68" s="5"/>
      <c r="B68" s="5"/>
      <c r="C68" s="5"/>
      <c r="D68" s="5"/>
      <c r="E68" s="44" t="s">
        <v>84</v>
      </c>
      <c r="F68" s="44"/>
      <c r="G68" s="5"/>
      <c r="H68" s="24">
        <f>SUM(J68,K68,M68,O68,Q68,S68,U68,W68,Y68,AA68,AC68)</f>
        <v>23</v>
      </c>
      <c r="I68" s="5">
        <f>SUM(J68,L68,N68,P68,R68,T68,V68,X68,Z68,AB68)</f>
        <v>102</v>
      </c>
      <c r="J68" s="5">
        <v>10</v>
      </c>
      <c r="K68" s="5">
        <v>6</v>
      </c>
      <c r="L68" s="5">
        <v>12</v>
      </c>
      <c r="M68" s="5">
        <v>1</v>
      </c>
      <c r="N68" s="5">
        <v>3</v>
      </c>
      <c r="O68" s="26">
        <v>2</v>
      </c>
      <c r="P68" s="26">
        <v>8</v>
      </c>
      <c r="Q68" s="5">
        <v>1</v>
      </c>
      <c r="R68" s="5">
        <v>8</v>
      </c>
      <c r="S68" s="5">
        <v>1</v>
      </c>
      <c r="T68" s="5">
        <f>11</f>
        <v>11</v>
      </c>
      <c r="U68" s="25" t="s">
        <v>137</v>
      </c>
      <c r="V68" s="25" t="s">
        <v>137</v>
      </c>
      <c r="W68" s="25">
        <v>1</v>
      </c>
      <c r="X68" s="25">
        <v>50</v>
      </c>
      <c r="Y68" s="25" t="s">
        <v>137</v>
      </c>
      <c r="Z68" s="25" t="s">
        <v>137</v>
      </c>
      <c r="AA68" s="25" t="s">
        <v>137</v>
      </c>
      <c r="AB68" s="25" t="s">
        <v>137</v>
      </c>
      <c r="AC68" s="5">
        <v>1</v>
      </c>
    </row>
    <row r="69" spans="2:6" ht="15" customHeight="1">
      <c r="B69" s="27" t="s">
        <v>145</v>
      </c>
      <c r="E69" s="27"/>
      <c r="F69" s="3"/>
    </row>
    <row r="70" spans="2:6" ht="15" customHeight="1">
      <c r="B70" s="1" t="s">
        <v>98</v>
      </c>
      <c r="E70" s="3"/>
      <c r="F70" s="3"/>
    </row>
  </sheetData>
  <mergeCells count="73">
    <mergeCell ref="E48:F48"/>
    <mergeCell ref="E57:F57"/>
    <mergeCell ref="E55:F55"/>
    <mergeCell ref="E54:F54"/>
    <mergeCell ref="E50:F50"/>
    <mergeCell ref="E68:F68"/>
    <mergeCell ref="E67:F67"/>
    <mergeCell ref="E66:F66"/>
    <mergeCell ref="E65:F65"/>
    <mergeCell ref="E63:F63"/>
    <mergeCell ref="E62:F62"/>
    <mergeCell ref="E61:F61"/>
    <mergeCell ref="E31:F31"/>
    <mergeCell ref="E40:F40"/>
    <mergeCell ref="E37:F37"/>
    <mergeCell ref="E39:F39"/>
    <mergeCell ref="E60:F60"/>
    <mergeCell ref="E59:F59"/>
    <mergeCell ref="E58:F58"/>
    <mergeCell ref="C29:F29"/>
    <mergeCell ref="E53:F53"/>
    <mergeCell ref="E44:F44"/>
    <mergeCell ref="E43:F43"/>
    <mergeCell ref="E47:F47"/>
    <mergeCell ref="E46:F46"/>
    <mergeCell ref="E45:F45"/>
    <mergeCell ref="E51:F51"/>
    <mergeCell ref="E42:F42"/>
    <mergeCell ref="E49:F49"/>
    <mergeCell ref="C41:F41"/>
    <mergeCell ref="C38:F38"/>
    <mergeCell ref="E33:F33"/>
    <mergeCell ref="E17:F17"/>
    <mergeCell ref="E36:F36"/>
    <mergeCell ref="E35:F35"/>
    <mergeCell ref="E34:F34"/>
    <mergeCell ref="E28:F28"/>
    <mergeCell ref="E32:F32"/>
    <mergeCell ref="E30:F30"/>
    <mergeCell ref="E19:F19"/>
    <mergeCell ref="D26:F26"/>
    <mergeCell ref="E24:F24"/>
    <mergeCell ref="E23:F23"/>
    <mergeCell ref="E22:F22"/>
    <mergeCell ref="E25:F25"/>
    <mergeCell ref="E27:F27"/>
    <mergeCell ref="E11:F11"/>
    <mergeCell ref="H3:I3"/>
    <mergeCell ref="D10:F10"/>
    <mergeCell ref="E21:F21"/>
    <mergeCell ref="E20:F20"/>
    <mergeCell ref="E13:F13"/>
    <mergeCell ref="E12:F12"/>
    <mergeCell ref="E16:F16"/>
    <mergeCell ref="D18:F18"/>
    <mergeCell ref="E15:F15"/>
    <mergeCell ref="K3:L3"/>
    <mergeCell ref="C9:F9"/>
    <mergeCell ref="E8:F8"/>
    <mergeCell ref="E7:F7"/>
    <mergeCell ref="E6:F6"/>
    <mergeCell ref="E5:F5"/>
    <mergeCell ref="B3:F4"/>
    <mergeCell ref="E14:F14"/>
    <mergeCell ref="AC3:AC4"/>
    <mergeCell ref="U3:V3"/>
    <mergeCell ref="W3:X3"/>
    <mergeCell ref="Y3:Z3"/>
    <mergeCell ref="AA3:AB3"/>
    <mergeCell ref="M3:N3"/>
    <mergeCell ref="O3:P3"/>
    <mergeCell ref="Q3:R3"/>
    <mergeCell ref="S3:T3"/>
  </mergeCells>
  <printOptions/>
  <pageMargins left="0.3937007874015748" right="0.22" top="0.3937007874015748" bottom="0" header="0.5118110236220472" footer="0.5118110236220472"/>
  <pageSetup horizontalDpi="400" verticalDpi="400" orientation="portrait" pageOrder="overThenDown" paperSize="9" scale="69" r:id="rId1"/>
  <ignoredErrors>
    <ignoredError sqref="H29 H9 I25:I29 I38:I41 H38 H41 I18:I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2007-08-03T03:59:05Z</cp:lastPrinted>
  <dcterms:modified xsi:type="dcterms:W3CDTF">2007-11-09T06:58:18Z</dcterms:modified>
  <cp:category/>
  <cp:version/>
  <cp:contentType/>
  <cp:contentStatus/>
</cp:coreProperties>
</file>