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1"/>
  </bookViews>
  <sheets>
    <sheet name="長崎市～愛野町" sheetId="1" r:id="rId1"/>
    <sheet name="千々石町～上対馬町" sheetId="2" r:id="rId2"/>
  </sheets>
  <definedNames>
    <definedName name="_xlnm.Print_Area" localSheetId="1">'千々石町～上対馬町'!$A$1:$L$52</definedName>
    <definedName name="_xlnm.Print_Area" localSheetId="0">'長崎市～愛野町'!$A$1:$L$51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<sst xmlns="http://schemas.openxmlformats.org/spreadsheetml/2006/main" count="122" uniqueCount="109">
  <si>
    <t>市町村</t>
  </si>
  <si>
    <t>流入</t>
  </si>
  <si>
    <t>流出</t>
  </si>
  <si>
    <t>平成  2年</t>
  </si>
  <si>
    <t>市 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</si>
  <si>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</si>
  <si>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</si>
  <si>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</si>
  <si>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</si>
  <si>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</si>
  <si>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</si>
  <si>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</si>
  <si>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</si>
  <si>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</si>
  <si>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</si>
  <si>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</si>
  <si>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</si>
  <si>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</si>
  <si>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</si>
  <si>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</si>
  <si>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</si>
  <si>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</si>
  <si>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</si>
  <si>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</si>
  <si>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</si>
  <si>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</si>
  <si>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</si>
  <si>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</si>
  <si>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</si>
  <si>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</si>
  <si>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</si>
  <si>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</si>
  <si>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</si>
  <si>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</si>
  <si>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</si>
  <si>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</si>
  <si>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</si>
  <si>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</si>
  <si>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</si>
  <si>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</si>
  <si>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</si>
  <si>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</si>
  <si>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</si>
  <si>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</si>
  <si>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</si>
  <si>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に   よ   る   人   口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</si>
  <si>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</si>
  <si>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</si>
  <si>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</si>
  <si>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</si>
  <si>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</si>
  <si>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</si>
  <si>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</si>
  <si>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</si>
  <si>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</si>
  <si>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</si>
  <si>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</si>
  <si>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</si>
  <si>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</si>
  <si>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</si>
  <si>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</si>
  <si>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</si>
  <si>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</si>
  <si>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</si>
  <si>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</si>
  <si>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</si>
  <si>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</si>
  <si>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</si>
  <si>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</si>
  <si>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</si>
  <si>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</si>
  <si>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</si>
  <si>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</si>
  <si>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</si>
  <si>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</si>
  <si>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</si>
  <si>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</si>
  <si>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</si>
  <si>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</si>
  <si>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</si>
  <si>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</si>
  <si>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</si>
  <si>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</si>
  <si>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</si>
  <si>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</si>
  <si>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</si>
  <si>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</si>
  <si>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</si>
  <si>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</si>
  <si>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</si>
  <si>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</si>
  <si>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</si>
  <si>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</si>
  <si>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</si>
  <si>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7</t>
  </si>
  <si>
    <t xml:space="preserve">                              ２６    従   業   地   ・  通   学   地</t>
  </si>
  <si>
    <t>1)常住地人口
（夜間人口）</t>
  </si>
  <si>
    <t>1)従業地通学地
による人口
（昼間人口）</t>
  </si>
  <si>
    <t>流入超過
（△流出超過）</t>
  </si>
  <si>
    <t>夜間人口
100人当たり
昼間人口</t>
  </si>
  <si>
    <t>国勢調査（各年10月 1日現在）による。</t>
  </si>
  <si>
    <t>2)通勤・通学者数</t>
  </si>
  <si>
    <t>2)通勤者数</t>
  </si>
  <si>
    <t>資料  総務省統計局「国勢調査報告」</t>
  </si>
  <si>
    <t xml:space="preserve">  2)  同一市町村内の通勤・通学者は含まない。</t>
  </si>
  <si>
    <t xml:space="preserve">  1)  労働力状態「不詳」を含む。</t>
  </si>
  <si>
    <t xml:space="preserve">  単位：人</t>
  </si>
  <si>
    <t xml:space="preserve">     12</t>
  </si>
  <si>
    <t>( 平 成 12 年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</si>
</sst>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 ;[Red]\-#,##0\ "/>
    <numFmt numFmtId="184" formatCode="#,##0.0;&quot;△ &quot;#,##0.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4" fontId="5" fillId="0" borderId="0" xfId="15" applyNumberFormat="1" applyFont="1" applyFill="1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4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184" fontId="5" fillId="0" borderId="1" xfId="15" applyNumberFormat="1" applyFont="1" applyFill="1" applyAlignment="1">
      <alignment/>
    </xf>
    <xf numFmtId="0" fontId="0" fillId="0" borderId="0" xfId="0" applyFont="1" applyFill="1" applyAlignment="1">
      <alignment/>
    </xf>
    <xf numFmtId="184" fontId="5" fillId="0" borderId="1" xfId="15" applyNumberFormat="1" applyFont="1" applyFill="1" applyBorder="1" applyAlignment="1">
      <alignment horizontal="center"/>
    </xf>
    <xf numFmtId="184" fontId="5" fillId="0" borderId="8" xfId="15" applyNumberFormat="1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="75" zoomScaleNormal="75" workbookViewId="0" topLeftCell="A1">
      <selection activeCell="G21" sqref="G21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4" width="18.125" style="2" customWidth="1"/>
    <col min="5" max="5" width="18.25390625" style="2" customWidth="1"/>
    <col min="6" max="6" width="18.00390625" style="2" customWidth="1"/>
    <col min="7" max="10" width="13.125" style="2" customWidth="1"/>
    <col min="11" max="11" width="14.875" style="1" customWidth="1"/>
    <col min="12" max="12" width="4.75390625" style="2" customWidth="1"/>
    <col min="13" max="16384" width="8.625" style="2" customWidth="1"/>
  </cols>
  <sheetData>
    <row r="1" ht="24">
      <c r="B1" s="3" t="s">
        <v>95</v>
      </c>
    </row>
    <row r="2" spans="1:11" ht="21.75" customHeight="1" thickBot="1">
      <c r="A2" s="4"/>
      <c r="B2" s="4" t="s">
        <v>100</v>
      </c>
      <c r="C2" s="4"/>
      <c r="D2" s="4"/>
      <c r="E2" s="4"/>
      <c r="F2" s="4"/>
      <c r="G2" s="4"/>
      <c r="H2" s="4"/>
      <c r="I2" s="4"/>
      <c r="J2" s="4"/>
      <c r="K2" s="5"/>
    </row>
    <row r="3" spans="1:11" ht="15.75" customHeight="1">
      <c r="A3" s="6"/>
      <c r="B3" s="27" t="s">
        <v>0</v>
      </c>
      <c r="C3" s="6"/>
      <c r="D3" s="29" t="s">
        <v>96</v>
      </c>
      <c r="E3" s="29" t="s">
        <v>97</v>
      </c>
      <c r="F3" s="29" t="s">
        <v>98</v>
      </c>
      <c r="G3" s="25" t="s">
        <v>101</v>
      </c>
      <c r="H3" s="26"/>
      <c r="I3" s="25" t="s">
        <v>102</v>
      </c>
      <c r="J3" s="26"/>
      <c r="K3" s="23" t="s">
        <v>99</v>
      </c>
    </row>
    <row r="4" spans="1:11" ht="31.5" customHeight="1">
      <c r="A4" s="7"/>
      <c r="B4" s="28"/>
      <c r="C4" s="8"/>
      <c r="D4" s="30"/>
      <c r="E4" s="30"/>
      <c r="F4" s="30"/>
      <c r="G4" s="9" t="s">
        <v>1</v>
      </c>
      <c r="H4" s="9" t="s">
        <v>2</v>
      </c>
      <c r="I4" s="9" t="s">
        <v>1</v>
      </c>
      <c r="J4" s="9" t="s">
        <v>2</v>
      </c>
      <c r="K4" s="24"/>
    </row>
    <row r="5" spans="2:11" ht="31.5" customHeight="1">
      <c r="B5" s="10" t="s">
        <v>3</v>
      </c>
      <c r="C5" s="11"/>
      <c r="D5" s="12">
        <v>1562090</v>
      </c>
      <c r="E5" s="2">
        <v>1558148</v>
      </c>
      <c r="F5" s="2">
        <v>-3942</v>
      </c>
      <c r="G5" s="2">
        <v>139898</v>
      </c>
      <c r="H5" s="2">
        <v>143840</v>
      </c>
      <c r="I5" s="2">
        <v>111979</v>
      </c>
      <c r="J5" s="2">
        <v>115875</v>
      </c>
      <c r="K5" s="1">
        <v>99.74764578225326</v>
      </c>
    </row>
    <row r="6" spans="2:11" ht="15.75" customHeight="1">
      <c r="B6" s="11" t="s">
        <v>94</v>
      </c>
      <c r="C6" s="13"/>
      <c r="D6" s="2">
        <v>1544381</v>
      </c>
      <c r="E6" s="2">
        <v>1541570</v>
      </c>
      <c r="F6" s="2">
        <v>-2811</v>
      </c>
      <c r="G6" s="2">
        <v>157040</v>
      </c>
      <c r="H6" s="2">
        <v>159851</v>
      </c>
      <c r="I6" s="2">
        <v>130608</v>
      </c>
      <c r="J6" s="2">
        <v>133465</v>
      </c>
      <c r="K6" s="1">
        <v>99.81798532874984</v>
      </c>
    </row>
    <row r="7" spans="2:11" ht="31.5" customHeight="1">
      <c r="B7" s="11" t="s">
        <v>107</v>
      </c>
      <c r="D7" s="12">
        <f aca="true" t="shared" si="0" ref="D7:J7">SUM(D8:D9)</f>
        <v>1515609</v>
      </c>
      <c r="E7" s="14">
        <f t="shared" si="0"/>
        <v>1512910</v>
      </c>
      <c r="F7" s="14">
        <f t="shared" si="0"/>
        <v>-2699</v>
      </c>
      <c r="G7" s="14">
        <f t="shared" si="0"/>
        <v>167042</v>
      </c>
      <c r="H7" s="14">
        <f t="shared" si="0"/>
        <v>169741</v>
      </c>
      <c r="I7" s="14">
        <f t="shared" si="0"/>
        <v>141313</v>
      </c>
      <c r="J7" s="14">
        <f t="shared" si="0"/>
        <v>143834</v>
      </c>
      <c r="K7" s="1">
        <f>E7/D7*100</f>
        <v>99.82191976954479</v>
      </c>
    </row>
    <row r="8" spans="2:11" ht="31.5" customHeight="1">
      <c r="B8" s="10" t="s">
        <v>4</v>
      </c>
      <c r="C8" s="10"/>
      <c r="D8" s="12">
        <f aca="true" t="shared" si="1" ref="D8:J8">SUM(D10:D14,D15:D17)</f>
        <v>956013</v>
      </c>
      <c r="E8" s="14">
        <f t="shared" si="1"/>
        <v>994287</v>
      </c>
      <c r="F8" s="14">
        <f t="shared" si="1"/>
        <v>38274</v>
      </c>
      <c r="G8" s="14">
        <f t="shared" si="1"/>
        <v>95160</v>
      </c>
      <c r="H8" s="14">
        <f t="shared" si="1"/>
        <v>56886</v>
      </c>
      <c r="I8" s="14">
        <f t="shared" si="1"/>
        <v>78757</v>
      </c>
      <c r="J8" s="14">
        <f t="shared" si="1"/>
        <v>49761</v>
      </c>
      <c r="K8" s="1">
        <f>E8/D8*100</f>
        <v>104.00350204442827</v>
      </c>
    </row>
    <row r="9" spans="2:11" ht="31.5" customHeight="1">
      <c r="B9" s="10" t="s">
        <v>5</v>
      </c>
      <c r="C9" s="10"/>
      <c r="D9" s="12">
        <f>SUM(D18,D34,D38,D43,'千々石町～上対馬町'!D16,'千々石町～上対馬町'!D30,'千々石町～上対馬町'!D41,'千々石町～上対馬町'!D46)</f>
        <v>559596</v>
      </c>
      <c r="E9" s="14">
        <f>SUM(E18,E34,E38,E43,'千々石町～上対馬町'!E16,'千々石町～上対馬町'!E30,'千々石町～上対馬町'!E41,'千々石町～上対馬町'!E46)</f>
        <v>518623</v>
      </c>
      <c r="F9" s="14">
        <f>SUM(F18,F34,F38,F43,'千々石町～上対馬町'!F16,'千々石町～上対馬町'!F30,'千々石町～上対馬町'!F41,'千々石町～上対馬町'!F46)</f>
        <v>-40973</v>
      </c>
      <c r="G9" s="14">
        <f>SUM(G18,G34,G38,G43,'千々石町～上対馬町'!G16,'千々石町～上対馬町'!G30,'千々石町～上対馬町'!G41,'千々石町～上対馬町'!G46)</f>
        <v>71882</v>
      </c>
      <c r="H9" s="14">
        <f>SUM(H18,H34,H38,H43,'千々石町～上対馬町'!H16,'千々石町～上対馬町'!H30,'千々石町～上対馬町'!H41,'千々石町～上対馬町'!H46)</f>
        <v>112855</v>
      </c>
      <c r="I9" s="14">
        <f>SUM(I18,I34,I38,I43,'千々石町～上対馬町'!I16,'千々石町～上対馬町'!I30,'千々石町～上対馬町'!I41,'千々石町～上対馬町'!I46)</f>
        <v>62556</v>
      </c>
      <c r="J9" s="14">
        <f>SUM(J18,J34,J38,J43,'千々石町～上対馬町'!J16,'千々石町～上対馬町'!J30,'千々石町～上対馬町'!J41,'千々石町～上対馬町'!J46)</f>
        <v>94073</v>
      </c>
      <c r="K9" s="1">
        <f>E9/D9*100</f>
        <v>92.67811063695952</v>
      </c>
    </row>
    <row r="10" spans="2:11" ht="47.25" customHeight="1">
      <c r="B10" s="10" t="s">
        <v>6</v>
      </c>
      <c r="C10" s="10"/>
      <c r="D10" s="12">
        <v>423021</v>
      </c>
      <c r="E10" s="2">
        <v>442757</v>
      </c>
      <c r="F10" s="2">
        <f>E10-D10</f>
        <v>19736</v>
      </c>
      <c r="G10" s="2">
        <f>38646+1263</f>
        <v>39909</v>
      </c>
      <c r="H10" s="2">
        <f>18810+1363</f>
        <v>20173</v>
      </c>
      <c r="I10" s="2">
        <f>32552+1086</f>
        <v>33638</v>
      </c>
      <c r="J10" s="2">
        <f>16548+1231</f>
        <v>17779</v>
      </c>
      <c r="K10" s="1">
        <f>E10/D10*100</f>
        <v>104.665489420147</v>
      </c>
    </row>
    <row r="11" spans="2:11" ht="15.75" customHeight="1">
      <c r="B11" s="10" t="s">
        <v>7</v>
      </c>
      <c r="C11" s="10"/>
      <c r="D11" s="12">
        <v>240293</v>
      </c>
      <c r="E11" s="2">
        <v>247152</v>
      </c>
      <c r="F11" s="2">
        <f aca="true" t="shared" si="2" ref="F11:F17">E11-D11</f>
        <v>6859</v>
      </c>
      <c r="G11" s="2">
        <f>12848+2283</f>
        <v>15131</v>
      </c>
      <c r="H11" s="2">
        <f>6148+2124</f>
        <v>8272</v>
      </c>
      <c r="I11" s="2">
        <f>10896+2056</f>
        <v>12952</v>
      </c>
      <c r="J11" s="2">
        <f>5511+1953</f>
        <v>7464</v>
      </c>
      <c r="K11" s="1">
        <f aca="true" t="shared" si="3" ref="K11:K17">E11/D11*100</f>
        <v>102.85443188107853</v>
      </c>
    </row>
    <row r="12" spans="2:11" ht="15.75" customHeight="1">
      <c r="B12" s="10" t="s">
        <v>8</v>
      </c>
      <c r="C12" s="10"/>
      <c r="D12" s="12">
        <v>39605</v>
      </c>
      <c r="E12" s="2">
        <v>43215</v>
      </c>
      <c r="F12" s="2">
        <f t="shared" si="2"/>
        <v>3610</v>
      </c>
      <c r="G12" s="2">
        <f>6336+111</f>
        <v>6447</v>
      </c>
      <c r="H12" s="2">
        <f>2727+110</f>
        <v>2837</v>
      </c>
      <c r="I12" s="2">
        <f>4667+109</f>
        <v>4776</v>
      </c>
      <c r="J12" s="2">
        <f>2535+104</f>
        <v>2639</v>
      </c>
      <c r="K12" s="1">
        <f t="shared" si="3"/>
        <v>109.11501073096832</v>
      </c>
    </row>
    <row r="13" spans="2:11" ht="15.75" customHeight="1">
      <c r="B13" s="10" t="s">
        <v>9</v>
      </c>
      <c r="C13" s="10"/>
      <c r="D13" s="12">
        <v>95166</v>
      </c>
      <c r="E13" s="2">
        <v>103165</v>
      </c>
      <c r="F13" s="2">
        <f t="shared" si="2"/>
        <v>7999</v>
      </c>
      <c r="G13" s="2">
        <f>20433+449</f>
        <v>20882</v>
      </c>
      <c r="H13" s="2">
        <f>12594+289</f>
        <v>12883</v>
      </c>
      <c r="I13" s="2">
        <f>16366+419</f>
        <v>16785</v>
      </c>
      <c r="J13" s="2">
        <f>10926+269</f>
        <v>11195</v>
      </c>
      <c r="K13" s="1">
        <f t="shared" si="3"/>
        <v>108.40531282180609</v>
      </c>
    </row>
    <row r="14" spans="2:11" ht="15.75" customHeight="1">
      <c r="B14" s="10" t="s">
        <v>10</v>
      </c>
      <c r="C14" s="10"/>
      <c r="D14" s="12">
        <v>84292</v>
      </c>
      <c r="E14" s="2">
        <v>83198</v>
      </c>
      <c r="F14" s="2">
        <f t="shared" si="2"/>
        <v>-1094</v>
      </c>
      <c r="G14" s="2">
        <f>7109+419</f>
        <v>7528</v>
      </c>
      <c r="H14" s="2">
        <f>8216+406</f>
        <v>8622</v>
      </c>
      <c r="I14" s="2">
        <f>5894+382</f>
        <v>6276</v>
      </c>
      <c r="J14" s="2">
        <f>6775+372</f>
        <v>7147</v>
      </c>
      <c r="K14" s="1">
        <f t="shared" si="3"/>
        <v>98.70213068855882</v>
      </c>
    </row>
    <row r="15" spans="2:11" ht="31.5" customHeight="1">
      <c r="B15" s="10" t="s">
        <v>11</v>
      </c>
      <c r="C15" s="10"/>
      <c r="D15" s="12">
        <v>27658</v>
      </c>
      <c r="E15" s="2">
        <v>28505</v>
      </c>
      <c r="F15" s="2">
        <f t="shared" si="2"/>
        <v>847</v>
      </c>
      <c r="G15" s="2">
        <f>1440+37</f>
        <v>1477</v>
      </c>
      <c r="H15" s="2">
        <f>591+39</f>
        <v>630</v>
      </c>
      <c r="I15" s="2">
        <f>1149+35</f>
        <v>1184</v>
      </c>
      <c r="J15" s="2">
        <f>514+39</f>
        <v>553</v>
      </c>
      <c r="K15" s="1">
        <f t="shared" si="3"/>
        <v>103.06240509075133</v>
      </c>
    </row>
    <row r="16" spans="2:11" ht="15.75" customHeight="1">
      <c r="B16" s="10" t="s">
        <v>12</v>
      </c>
      <c r="C16" s="10"/>
      <c r="D16" s="12">
        <v>23899</v>
      </c>
      <c r="E16" s="2">
        <v>23761</v>
      </c>
      <c r="F16" s="2">
        <f t="shared" si="2"/>
        <v>-138</v>
      </c>
      <c r="G16" s="2">
        <f>1225+53</f>
        <v>1278</v>
      </c>
      <c r="H16" s="2">
        <f>1249+167</f>
        <v>1416</v>
      </c>
      <c r="I16" s="2">
        <f>797+51</f>
        <v>848</v>
      </c>
      <c r="J16" s="2">
        <f>1047+165</f>
        <v>1212</v>
      </c>
      <c r="K16" s="1">
        <f t="shared" si="3"/>
        <v>99.42256998200762</v>
      </c>
    </row>
    <row r="17" spans="2:11" ht="15.75" customHeight="1">
      <c r="B17" s="10" t="s">
        <v>13</v>
      </c>
      <c r="C17" s="10"/>
      <c r="D17" s="12">
        <v>22079</v>
      </c>
      <c r="E17" s="2">
        <v>22534</v>
      </c>
      <c r="F17" s="2">
        <f t="shared" si="2"/>
        <v>455</v>
      </c>
      <c r="G17" s="2">
        <f>2057+451</f>
        <v>2508</v>
      </c>
      <c r="H17" s="2">
        <f>1432+621</f>
        <v>2053</v>
      </c>
      <c r="I17" s="2">
        <f>1867+431</f>
        <v>2298</v>
      </c>
      <c r="J17" s="2">
        <f>1180+592</f>
        <v>1772</v>
      </c>
      <c r="K17" s="1">
        <f t="shared" si="3"/>
        <v>102.06078173830338</v>
      </c>
    </row>
    <row r="18" spans="2:11" ht="47.25" customHeight="1">
      <c r="B18" s="10" t="s">
        <v>14</v>
      </c>
      <c r="C18" s="10"/>
      <c r="D18" s="12">
        <f aca="true" t="shared" si="4" ref="D18:J18">SUM(D19:D33)</f>
        <v>167678</v>
      </c>
      <c r="E18" s="14">
        <f t="shared" si="4"/>
        <v>149762</v>
      </c>
      <c r="F18" s="14">
        <f t="shared" si="4"/>
        <v>-17916</v>
      </c>
      <c r="G18" s="14">
        <f t="shared" si="4"/>
        <v>26366</v>
      </c>
      <c r="H18" s="14">
        <f t="shared" si="4"/>
        <v>44282</v>
      </c>
      <c r="I18" s="14">
        <f t="shared" si="4"/>
        <v>23461</v>
      </c>
      <c r="J18" s="14">
        <f t="shared" si="4"/>
        <v>37701</v>
      </c>
      <c r="K18" s="1">
        <f aca="true" t="shared" si="5" ref="K18:K30">E18/D18*100</f>
        <v>89.31523515309104</v>
      </c>
    </row>
    <row r="19" spans="2:11" ht="31.5" customHeight="1">
      <c r="B19" s="15" t="s">
        <v>15</v>
      </c>
      <c r="C19" s="16"/>
      <c r="D19" s="12">
        <v>4512</v>
      </c>
      <c r="E19" s="2">
        <v>5422</v>
      </c>
      <c r="F19" s="2">
        <f aca="true" t="shared" si="6" ref="F19:F30">E19-D19</f>
        <v>910</v>
      </c>
      <c r="G19" s="2">
        <f>2348+9</f>
        <v>2357</v>
      </c>
      <c r="H19" s="2">
        <f>1427+20</f>
        <v>1447</v>
      </c>
      <c r="I19" s="2">
        <f>2346+9</f>
        <v>2355</v>
      </c>
      <c r="J19" s="2">
        <f>1215+20</f>
        <v>1235</v>
      </c>
      <c r="K19" s="1">
        <f t="shared" si="5"/>
        <v>120.16843971631207</v>
      </c>
    </row>
    <row r="20" spans="2:11" ht="15.75" customHeight="1">
      <c r="B20" s="15" t="s">
        <v>16</v>
      </c>
      <c r="C20" s="16"/>
      <c r="D20" s="12">
        <v>1035</v>
      </c>
      <c r="E20" s="2">
        <v>969</v>
      </c>
      <c r="F20" s="2">
        <f t="shared" si="6"/>
        <v>-66</v>
      </c>
      <c r="G20" s="2">
        <v>75</v>
      </c>
      <c r="H20" s="2">
        <f>139+2</f>
        <v>141</v>
      </c>
      <c r="I20" s="2">
        <f>72+3</f>
        <v>75</v>
      </c>
      <c r="J20" s="2">
        <f>104+1</f>
        <v>105</v>
      </c>
      <c r="K20" s="1">
        <f t="shared" si="5"/>
        <v>93.6231884057971</v>
      </c>
    </row>
    <row r="21" spans="2:11" ht="15.75" customHeight="1">
      <c r="B21" s="17" t="s">
        <v>17</v>
      </c>
      <c r="C21" s="16"/>
      <c r="D21" s="12">
        <v>900</v>
      </c>
      <c r="E21" s="2">
        <v>895</v>
      </c>
      <c r="F21" s="2">
        <f t="shared" si="6"/>
        <v>-5</v>
      </c>
      <c r="G21" s="2">
        <v>51</v>
      </c>
      <c r="H21" s="2">
        <f>55+1</f>
        <v>56</v>
      </c>
      <c r="I21" s="2">
        <v>51</v>
      </c>
      <c r="J21" s="2">
        <f>41+1</f>
        <v>42</v>
      </c>
      <c r="K21" s="1">
        <f t="shared" si="5"/>
        <v>99.44444444444444</v>
      </c>
    </row>
    <row r="22" spans="2:11" ht="15.75" customHeight="1">
      <c r="B22" s="17" t="s">
        <v>18</v>
      </c>
      <c r="C22" s="16"/>
      <c r="D22" s="12">
        <v>8101</v>
      </c>
      <c r="E22" s="2">
        <v>7335</v>
      </c>
      <c r="F22" s="2">
        <f t="shared" si="6"/>
        <v>-766</v>
      </c>
      <c r="G22" s="2">
        <f>606+4</f>
        <v>610</v>
      </c>
      <c r="H22" s="2">
        <f>1244+132</f>
        <v>1376</v>
      </c>
      <c r="I22" s="2">
        <f>493+4</f>
        <v>497</v>
      </c>
      <c r="J22" s="2">
        <f>1031+132</f>
        <v>1163</v>
      </c>
      <c r="K22" s="1">
        <f t="shared" si="5"/>
        <v>90.5443772373781</v>
      </c>
    </row>
    <row r="23" spans="2:11" ht="15.75" customHeight="1">
      <c r="B23" s="17" t="s">
        <v>19</v>
      </c>
      <c r="C23" s="16"/>
      <c r="D23" s="12">
        <v>12366</v>
      </c>
      <c r="E23" s="2">
        <v>8875</v>
      </c>
      <c r="F23" s="2">
        <f t="shared" si="6"/>
        <v>-3491</v>
      </c>
      <c r="G23" s="2">
        <f>865+3</f>
        <v>868</v>
      </c>
      <c r="H23" s="2">
        <f>4295+64</f>
        <v>4359</v>
      </c>
      <c r="I23" s="2">
        <f>805+3</f>
        <v>808</v>
      </c>
      <c r="J23" s="2">
        <f>3564+62</f>
        <v>3626</v>
      </c>
      <c r="K23" s="1">
        <f t="shared" si="5"/>
        <v>71.769367620896</v>
      </c>
    </row>
    <row r="24" spans="2:11" ht="31.5" customHeight="1">
      <c r="B24" s="17" t="s">
        <v>20</v>
      </c>
      <c r="C24" s="16"/>
      <c r="D24" s="12">
        <v>17043</v>
      </c>
      <c r="E24" s="2">
        <v>15603</v>
      </c>
      <c r="F24" s="2">
        <f t="shared" si="6"/>
        <v>-1440</v>
      </c>
      <c r="G24" s="2">
        <f>4119+29</f>
        <v>4148</v>
      </c>
      <c r="H24" s="2">
        <f>5548+40</f>
        <v>5588</v>
      </c>
      <c r="I24" s="2">
        <f>3537+29</f>
        <v>3566</v>
      </c>
      <c r="J24" s="2">
        <f>4698+39</f>
        <v>4737</v>
      </c>
      <c r="K24" s="1">
        <f t="shared" si="5"/>
        <v>91.55078331279705</v>
      </c>
    </row>
    <row r="25" spans="2:11" ht="15.75" customHeight="1">
      <c r="B25" s="17" t="s">
        <v>21</v>
      </c>
      <c r="C25" s="16"/>
      <c r="D25" s="12">
        <v>40331</v>
      </c>
      <c r="E25" s="2">
        <v>30471</v>
      </c>
      <c r="F25" s="2">
        <f t="shared" si="6"/>
        <v>-9860</v>
      </c>
      <c r="G25" s="2">
        <f>4307+24</f>
        <v>4331</v>
      </c>
      <c r="H25" s="2">
        <f>14067+124</f>
        <v>14191</v>
      </c>
      <c r="I25" s="2">
        <f>3559+20</f>
        <v>3579</v>
      </c>
      <c r="J25" s="2">
        <f>12303+118</f>
        <v>12421</v>
      </c>
      <c r="K25" s="1">
        <f t="shared" si="5"/>
        <v>75.55230467878306</v>
      </c>
    </row>
    <row r="26" spans="2:11" ht="15.75" customHeight="1">
      <c r="B26" s="17" t="s">
        <v>22</v>
      </c>
      <c r="C26" s="16"/>
      <c r="D26" s="12">
        <v>28049</v>
      </c>
      <c r="E26" s="2">
        <v>27302</v>
      </c>
      <c r="F26" s="2">
        <f t="shared" si="6"/>
        <v>-747</v>
      </c>
      <c r="G26" s="2">
        <f>7194+43</f>
        <v>7237</v>
      </c>
      <c r="H26" s="2">
        <f>7861+123</f>
        <v>7984</v>
      </c>
      <c r="I26" s="2">
        <f>6820+29</f>
        <v>6849</v>
      </c>
      <c r="J26" s="2">
        <f>6503+106</f>
        <v>6609</v>
      </c>
      <c r="K26" s="1">
        <f t="shared" si="5"/>
        <v>97.33680345110342</v>
      </c>
    </row>
    <row r="27" spans="2:11" ht="15.75" customHeight="1">
      <c r="B27" s="17" t="s">
        <v>23</v>
      </c>
      <c r="C27" s="16"/>
      <c r="D27" s="12">
        <v>12649</v>
      </c>
      <c r="E27" s="2">
        <v>10932</v>
      </c>
      <c r="F27" s="2">
        <f t="shared" si="6"/>
        <v>-1717</v>
      </c>
      <c r="G27" s="2">
        <f>1838+6</f>
        <v>1844</v>
      </c>
      <c r="H27" s="2">
        <f>3522+39</f>
        <v>3561</v>
      </c>
      <c r="I27" s="2">
        <f>1373+6</f>
        <v>1379</v>
      </c>
      <c r="J27" s="2">
        <f>3084+37</f>
        <v>3121</v>
      </c>
      <c r="K27" s="1">
        <f t="shared" si="5"/>
        <v>86.42580441141592</v>
      </c>
    </row>
    <row r="28" spans="2:11" ht="15.75" customHeight="1">
      <c r="B28" s="17" t="s">
        <v>24</v>
      </c>
      <c r="C28" s="16"/>
      <c r="D28" s="12">
        <v>9873</v>
      </c>
      <c r="E28" s="2">
        <v>9687</v>
      </c>
      <c r="F28" s="2">
        <f t="shared" si="6"/>
        <v>-186</v>
      </c>
      <c r="G28" s="2">
        <f>1543+18</f>
        <v>1561</v>
      </c>
      <c r="H28" s="2">
        <f>1731+16</f>
        <v>1747</v>
      </c>
      <c r="I28" s="2">
        <f>1318+18</f>
        <v>1336</v>
      </c>
      <c r="J28" s="2">
        <f>1440+16</f>
        <v>1456</v>
      </c>
      <c r="K28" s="1">
        <f t="shared" si="5"/>
        <v>98.1160741415983</v>
      </c>
    </row>
    <row r="29" spans="2:11" ht="31.5" customHeight="1">
      <c r="B29" s="17" t="s">
        <v>25</v>
      </c>
      <c r="C29" s="16"/>
      <c r="D29" s="12">
        <v>9001</v>
      </c>
      <c r="E29" s="2">
        <v>7720</v>
      </c>
      <c r="F29" s="2">
        <f t="shared" si="6"/>
        <v>-1281</v>
      </c>
      <c r="G29" s="2">
        <f>528+8</f>
        <v>536</v>
      </c>
      <c r="H29" s="2">
        <f>1799+18</f>
        <v>1817</v>
      </c>
      <c r="I29" s="2">
        <f>521+8</f>
        <v>529</v>
      </c>
      <c r="J29" s="2">
        <f>1450+16</f>
        <v>1466</v>
      </c>
      <c r="K29" s="1">
        <f t="shared" si="5"/>
        <v>85.76824797244751</v>
      </c>
    </row>
    <row r="30" spans="2:11" ht="15.75" customHeight="1">
      <c r="B30" s="17" t="s">
        <v>26</v>
      </c>
      <c r="C30" s="16"/>
      <c r="D30" s="12">
        <v>6055</v>
      </c>
      <c r="E30" s="2">
        <v>6828</v>
      </c>
      <c r="F30" s="2">
        <f t="shared" si="6"/>
        <v>773</v>
      </c>
      <c r="G30" s="2">
        <f>996+29</f>
        <v>1025</v>
      </c>
      <c r="H30" s="2">
        <f>238+14</f>
        <v>252</v>
      </c>
      <c r="I30" s="2">
        <f>956+29</f>
        <v>985</v>
      </c>
      <c r="J30" s="2">
        <f>235+14</f>
        <v>249</v>
      </c>
      <c r="K30" s="1">
        <f t="shared" si="5"/>
        <v>112.766308835673</v>
      </c>
    </row>
    <row r="31" spans="2:11" ht="15.75" customHeight="1">
      <c r="B31" s="17" t="s">
        <v>27</v>
      </c>
      <c r="C31" s="16"/>
      <c r="D31" s="12">
        <v>2309</v>
      </c>
      <c r="E31" s="2">
        <v>2326</v>
      </c>
      <c r="F31" s="2">
        <f>E31-D31</f>
        <v>17</v>
      </c>
      <c r="G31" s="2">
        <f>168+6</f>
        <v>174</v>
      </c>
      <c r="H31" s="2">
        <f>154+3</f>
        <v>157</v>
      </c>
      <c r="I31" s="2">
        <f>168+6</f>
        <v>174</v>
      </c>
      <c r="J31" s="2">
        <f>114+3</f>
        <v>117</v>
      </c>
      <c r="K31" s="1">
        <f aca="true" t="shared" si="7" ref="K31:K43">E31/D31*100</f>
        <v>100.7362494586401</v>
      </c>
    </row>
    <row r="32" spans="2:11" ht="15.75" customHeight="1">
      <c r="B32" s="17" t="s">
        <v>28</v>
      </c>
      <c r="C32" s="16"/>
      <c r="D32" s="12">
        <v>8049</v>
      </c>
      <c r="E32" s="2">
        <v>8334</v>
      </c>
      <c r="F32" s="2">
        <f>E32-D32</f>
        <v>285</v>
      </c>
      <c r="G32" s="2">
        <f>988+18</f>
        <v>1006</v>
      </c>
      <c r="H32" s="2">
        <f>709+12</f>
        <v>721</v>
      </c>
      <c r="I32" s="2">
        <f>718+18</f>
        <v>736</v>
      </c>
      <c r="J32" s="2">
        <f>662+12</f>
        <v>674</v>
      </c>
      <c r="K32" s="1">
        <f t="shared" si="7"/>
        <v>103.54081252329482</v>
      </c>
    </row>
    <row r="33" spans="2:11" ht="15.75" customHeight="1">
      <c r="B33" s="17" t="s">
        <v>29</v>
      </c>
      <c r="C33" s="16"/>
      <c r="D33" s="12">
        <v>7405</v>
      </c>
      <c r="E33" s="2">
        <v>7063</v>
      </c>
      <c r="F33" s="2">
        <f>E33-D33</f>
        <v>-342</v>
      </c>
      <c r="G33" s="2">
        <f>520+23</f>
        <v>543</v>
      </c>
      <c r="H33" s="2">
        <f>881+4</f>
        <v>885</v>
      </c>
      <c r="I33" s="2">
        <f>519+23</f>
        <v>542</v>
      </c>
      <c r="J33" s="2">
        <f>677+3</f>
        <v>680</v>
      </c>
      <c r="K33" s="1">
        <f t="shared" si="7"/>
        <v>95.38149898717083</v>
      </c>
    </row>
    <row r="34" spans="2:11" ht="47.25" customHeight="1">
      <c r="B34" s="10" t="s">
        <v>30</v>
      </c>
      <c r="C34" s="10"/>
      <c r="D34" s="12">
        <f>SUM(D35:D37)</f>
        <v>40799</v>
      </c>
      <c r="E34" s="14">
        <f aca="true" t="shared" si="8" ref="E34:J34">SUM(E35:E37)</f>
        <v>36940</v>
      </c>
      <c r="F34" s="14">
        <f t="shared" si="8"/>
        <v>-3859</v>
      </c>
      <c r="G34" s="14">
        <f t="shared" si="8"/>
        <v>5213</v>
      </c>
      <c r="H34" s="14">
        <f t="shared" si="8"/>
        <v>9072</v>
      </c>
      <c r="I34" s="14">
        <f t="shared" si="8"/>
        <v>4580</v>
      </c>
      <c r="J34" s="14">
        <f t="shared" si="8"/>
        <v>7601</v>
      </c>
      <c r="K34" s="1">
        <f t="shared" si="7"/>
        <v>90.54143483908919</v>
      </c>
    </row>
    <row r="35" spans="2:11" ht="31.5" customHeight="1">
      <c r="B35" s="16" t="s">
        <v>31</v>
      </c>
      <c r="C35" s="16"/>
      <c r="D35" s="12">
        <v>10026</v>
      </c>
      <c r="E35" s="2">
        <v>8397</v>
      </c>
      <c r="F35" s="2">
        <f>E35-D35</f>
        <v>-1629</v>
      </c>
      <c r="G35" s="2">
        <f>867+75</f>
        <v>942</v>
      </c>
      <c r="H35" s="2">
        <f>2404+167</f>
        <v>2571</v>
      </c>
      <c r="I35" s="2">
        <f>864+74</f>
        <v>938</v>
      </c>
      <c r="J35" s="2">
        <f>1945+132</f>
        <v>2077</v>
      </c>
      <c r="K35" s="1">
        <f t="shared" si="7"/>
        <v>83.75224416517055</v>
      </c>
    </row>
    <row r="36" spans="2:11" ht="15.75" customHeight="1">
      <c r="B36" s="16" t="s">
        <v>32</v>
      </c>
      <c r="C36" s="16"/>
      <c r="D36" s="12">
        <v>15311</v>
      </c>
      <c r="E36" s="2">
        <v>13886</v>
      </c>
      <c r="F36" s="2">
        <f>E36-D36</f>
        <v>-1425</v>
      </c>
      <c r="G36" s="2">
        <f>2110+125</f>
        <v>2235</v>
      </c>
      <c r="H36" s="2">
        <f>3486+174</f>
        <v>3660</v>
      </c>
      <c r="I36" s="2">
        <f>1679+125</f>
        <v>1804</v>
      </c>
      <c r="J36" s="2">
        <f>3037+167</f>
        <v>3204</v>
      </c>
      <c r="K36" s="1">
        <f t="shared" si="7"/>
        <v>90.69296584155182</v>
      </c>
    </row>
    <row r="37" spans="2:11" ht="15.75" customHeight="1">
      <c r="B37" s="16" t="s">
        <v>33</v>
      </c>
      <c r="C37" s="16"/>
      <c r="D37" s="12">
        <v>15462</v>
      </c>
      <c r="E37" s="2">
        <v>14657</v>
      </c>
      <c r="F37" s="2">
        <f>E37-D37</f>
        <v>-805</v>
      </c>
      <c r="G37" s="2">
        <f>1509+527</f>
        <v>2036</v>
      </c>
      <c r="H37" s="2">
        <f>2173+668</f>
        <v>2841</v>
      </c>
      <c r="I37" s="2">
        <f>1311+527</f>
        <v>1838</v>
      </c>
      <c r="J37" s="2">
        <f>1762+558</f>
        <v>2320</v>
      </c>
      <c r="K37" s="1">
        <f t="shared" si="7"/>
        <v>94.79368775061441</v>
      </c>
    </row>
    <row r="38" spans="2:11" ht="47.25" customHeight="1">
      <c r="B38" s="10" t="s">
        <v>34</v>
      </c>
      <c r="C38" s="10"/>
      <c r="D38" s="12">
        <f aca="true" t="shared" si="9" ref="D38:J38">SUM(D39:D42)</f>
        <v>32061</v>
      </c>
      <c r="E38" s="14">
        <f t="shared" si="9"/>
        <v>27370</v>
      </c>
      <c r="F38" s="14">
        <f t="shared" si="9"/>
        <v>-4691</v>
      </c>
      <c r="G38" s="14">
        <f t="shared" si="9"/>
        <v>4035</v>
      </c>
      <c r="H38" s="14">
        <f t="shared" si="9"/>
        <v>8726</v>
      </c>
      <c r="I38" s="14">
        <f t="shared" si="9"/>
        <v>3607</v>
      </c>
      <c r="J38" s="14">
        <f t="shared" si="9"/>
        <v>7227</v>
      </c>
      <c r="K38" s="1">
        <f t="shared" si="7"/>
        <v>85.3685162658682</v>
      </c>
    </row>
    <row r="39" spans="2:11" ht="31.5" customHeight="1">
      <c r="B39" s="16" t="s">
        <v>35</v>
      </c>
      <c r="C39" s="16"/>
      <c r="D39" s="12">
        <v>6259</v>
      </c>
      <c r="E39" s="2">
        <v>5617</v>
      </c>
      <c r="F39" s="2">
        <f>E39-D39</f>
        <v>-642</v>
      </c>
      <c r="G39" s="2">
        <f>1271+14</f>
        <v>1285</v>
      </c>
      <c r="H39" s="2">
        <f>1913+14</f>
        <v>1927</v>
      </c>
      <c r="I39" s="2">
        <f>902+14</f>
        <v>916</v>
      </c>
      <c r="J39" s="2">
        <f>1676+13</f>
        <v>1689</v>
      </c>
      <c r="K39" s="1">
        <f t="shared" si="7"/>
        <v>89.74277041060871</v>
      </c>
    </row>
    <row r="40" spans="2:11" ht="15.75" customHeight="1">
      <c r="B40" s="16" t="s">
        <v>36</v>
      </c>
      <c r="C40" s="16"/>
      <c r="D40" s="12">
        <v>8034</v>
      </c>
      <c r="E40" s="2">
        <v>6324</v>
      </c>
      <c r="F40" s="2">
        <f>E40-D40</f>
        <v>-1710</v>
      </c>
      <c r="G40" s="2">
        <f>654+2</f>
        <v>656</v>
      </c>
      <c r="H40" s="2">
        <f>2325+41</f>
        <v>2366</v>
      </c>
      <c r="I40" s="2">
        <f>652+2</f>
        <v>654</v>
      </c>
      <c r="J40" s="2">
        <f>1882+40</f>
        <v>1922</v>
      </c>
      <c r="K40" s="1">
        <f t="shared" si="7"/>
        <v>78.71545929798357</v>
      </c>
    </row>
    <row r="41" spans="2:11" ht="15.75" customHeight="1">
      <c r="B41" s="16" t="s">
        <v>37</v>
      </c>
      <c r="C41" s="16"/>
      <c r="D41" s="12">
        <v>11092</v>
      </c>
      <c r="E41" s="2">
        <v>8954</v>
      </c>
      <c r="F41" s="2">
        <f>E41-D41</f>
        <v>-2138</v>
      </c>
      <c r="G41" s="2">
        <f>937+66</f>
        <v>1003</v>
      </c>
      <c r="H41" s="2">
        <f>3085+56</f>
        <v>3141</v>
      </c>
      <c r="I41" s="2">
        <f>885+66</f>
        <v>951</v>
      </c>
      <c r="J41" s="2">
        <f>2572+52</f>
        <v>2624</v>
      </c>
      <c r="K41" s="1">
        <f t="shared" si="7"/>
        <v>80.72484673638658</v>
      </c>
    </row>
    <row r="42" spans="2:11" ht="15.75" customHeight="1">
      <c r="B42" s="16" t="s">
        <v>38</v>
      </c>
      <c r="C42" s="16"/>
      <c r="D42" s="12">
        <v>6676</v>
      </c>
      <c r="E42" s="2">
        <v>6475</v>
      </c>
      <c r="F42" s="2">
        <f>E42-D42</f>
        <v>-201</v>
      </c>
      <c r="G42" s="2">
        <f>872+219</f>
        <v>1091</v>
      </c>
      <c r="H42" s="2">
        <f>1191+101</f>
        <v>1292</v>
      </c>
      <c r="I42" s="2">
        <f>867+219</f>
        <v>1086</v>
      </c>
      <c r="J42" s="2">
        <f>896+96</f>
        <v>992</v>
      </c>
      <c r="K42" s="1">
        <f t="shared" si="7"/>
        <v>96.98921509886159</v>
      </c>
    </row>
    <row r="43" spans="2:11" ht="47.25" customHeight="1">
      <c r="B43" s="10" t="s">
        <v>39</v>
      </c>
      <c r="C43" s="13"/>
      <c r="D43" s="14">
        <f>SUM(D44:D48,'千々石町～上対馬町'!D5:D15)</f>
        <v>121231</v>
      </c>
      <c r="E43" s="14">
        <f>SUM(E44:E48,'千々石町～上対馬町'!E5:E15)</f>
        <v>112970</v>
      </c>
      <c r="F43" s="14">
        <f>SUM(F44:F48,'千々石町～上対馬町'!F5:F15)</f>
        <v>-8261</v>
      </c>
      <c r="G43" s="14">
        <f>SUM(G44:G48,'千々石町～上対馬町'!G5:G15)</f>
        <v>15239</v>
      </c>
      <c r="H43" s="14">
        <f>SUM(H44:H48,'千々石町～上対馬町'!H5:H15)</f>
        <v>23500</v>
      </c>
      <c r="I43" s="14">
        <f>SUM(I44:I48,'千々石町～上対馬町'!I5:I15)</f>
        <v>13393</v>
      </c>
      <c r="J43" s="14">
        <f>SUM(J44:J48,'千々石町～上対馬町'!J5:J15)</f>
        <v>19095</v>
      </c>
      <c r="K43" s="1">
        <f t="shared" si="7"/>
        <v>93.18573632156792</v>
      </c>
    </row>
    <row r="44" spans="2:11" ht="31.5" customHeight="1">
      <c r="B44" s="16" t="s">
        <v>40</v>
      </c>
      <c r="C44" s="16"/>
      <c r="D44" s="12">
        <v>11958</v>
      </c>
      <c r="E44" s="2">
        <v>11000</v>
      </c>
      <c r="F44" s="2">
        <f>E44-D44</f>
        <v>-958</v>
      </c>
      <c r="G44" s="2">
        <f>1446+4</f>
        <v>1450</v>
      </c>
      <c r="H44" s="2">
        <f>2366+42</f>
        <v>2408</v>
      </c>
      <c r="I44" s="2">
        <f>1444+4</f>
        <v>1448</v>
      </c>
      <c r="J44" s="2">
        <f>1847+42</f>
        <v>1889</v>
      </c>
      <c r="K44" s="1">
        <f>E44/D44*100</f>
        <v>91.98862686067905</v>
      </c>
    </row>
    <row r="45" spans="2:11" ht="15.75" customHeight="1">
      <c r="B45" s="16" t="s">
        <v>41</v>
      </c>
      <c r="C45" s="16"/>
      <c r="D45" s="12">
        <v>11458</v>
      </c>
      <c r="E45" s="2">
        <v>10565</v>
      </c>
      <c r="F45" s="2">
        <f>E45-D45</f>
        <v>-893</v>
      </c>
      <c r="G45" s="2">
        <f>1325+10</f>
        <v>1335</v>
      </c>
      <c r="H45" s="2">
        <f>2204+24</f>
        <v>2228</v>
      </c>
      <c r="I45" s="2">
        <f>942+9</f>
        <v>951</v>
      </c>
      <c r="J45" s="2">
        <f>1940+24</f>
        <v>1964</v>
      </c>
      <c r="K45" s="1">
        <f>E45/D45*100</f>
        <v>92.20631872927213</v>
      </c>
    </row>
    <row r="46" spans="2:11" ht="15.75" customHeight="1">
      <c r="B46" s="16" t="s">
        <v>42</v>
      </c>
      <c r="C46" s="16"/>
      <c r="D46" s="12">
        <v>5998</v>
      </c>
      <c r="E46" s="2">
        <v>5767</v>
      </c>
      <c r="F46" s="2">
        <f>E46-D46</f>
        <v>-231</v>
      </c>
      <c r="G46" s="2">
        <f>1074+3</f>
        <v>1077</v>
      </c>
      <c r="H46" s="2">
        <f>1297+11</f>
        <v>1308</v>
      </c>
      <c r="I46" s="2">
        <f>1072+3</f>
        <v>1075</v>
      </c>
      <c r="J46" s="2">
        <f>1006+11</f>
        <v>1017</v>
      </c>
      <c r="K46" s="1">
        <f>E46/D46*100</f>
        <v>96.14871623874625</v>
      </c>
    </row>
    <row r="47" spans="2:11" ht="15.75" customHeight="1">
      <c r="B47" s="16" t="s">
        <v>43</v>
      </c>
      <c r="C47" s="16"/>
      <c r="D47" s="12">
        <v>7725</v>
      </c>
      <c r="E47" s="2">
        <v>6295</v>
      </c>
      <c r="F47" s="2">
        <f>E47-D47</f>
        <v>-1430</v>
      </c>
      <c r="G47" s="2">
        <f>646+2</f>
        <v>648</v>
      </c>
      <c r="H47" s="2">
        <f>2066+12</f>
        <v>2078</v>
      </c>
      <c r="I47" s="2">
        <f>644+2</f>
        <v>646</v>
      </c>
      <c r="J47" s="2">
        <f>1646+12</f>
        <v>1658</v>
      </c>
      <c r="K47" s="1">
        <f>E47/D47*100</f>
        <v>81.48867313915858</v>
      </c>
    </row>
    <row r="48" spans="1:11" ht="15.75" customHeight="1" thickBot="1">
      <c r="A48" s="4"/>
      <c r="B48" s="18" t="s">
        <v>44</v>
      </c>
      <c r="C48" s="18"/>
      <c r="D48" s="19">
        <v>4867</v>
      </c>
      <c r="E48" s="4">
        <v>5016</v>
      </c>
      <c r="F48" s="4">
        <f>E48-D48</f>
        <v>149</v>
      </c>
      <c r="G48" s="4">
        <f>1458+7</f>
        <v>1465</v>
      </c>
      <c r="H48" s="4">
        <f>1304+12</f>
        <v>1316</v>
      </c>
      <c r="I48" s="4">
        <f>1451+7</f>
        <v>1458</v>
      </c>
      <c r="J48" s="4">
        <f>1091+11</f>
        <v>1102</v>
      </c>
      <c r="K48" s="20">
        <f>E48/D48*100</f>
        <v>103.06143414834601</v>
      </c>
    </row>
    <row r="49" ht="15" customHeight="1">
      <c r="B49" s="2" t="s">
        <v>105</v>
      </c>
    </row>
    <row r="50" ht="15" customHeight="1">
      <c r="B50" s="2" t="s">
        <v>104</v>
      </c>
    </row>
    <row r="51" ht="15" customHeight="1">
      <c r="B51" s="2" t="s">
        <v>103</v>
      </c>
    </row>
  </sheetData>
  <mergeCells count="7">
    <mergeCell ref="K3:K4"/>
    <mergeCell ref="I3:J3"/>
    <mergeCell ref="G3:H3"/>
    <mergeCell ref="B3:B4"/>
    <mergeCell ref="D3:D4"/>
    <mergeCell ref="E3:E4"/>
    <mergeCell ref="F3:F4"/>
  </mergeCells>
  <printOptions/>
  <pageMargins left="0.3937007874015748" right="0.3937007874015748" top="0.3937007874015748" bottom="0" header="0.5118110236220472" footer="0.5118110236220472"/>
  <pageSetup horizontalDpi="400" verticalDpi="400" orientation="portrait" paperSize="9" scale="70" r:id="rId1"/>
  <ignoredErrors>
    <ignoredError sqref="B6:B7" numberStoredAsText="1"/>
    <ignoredError sqref="F18:F48 H18:H48 G18:G19 G21:G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zoomScale="75" zoomScaleNormal="75" workbookViewId="0" topLeftCell="A1">
      <selection activeCell="F2" sqref="F2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4" width="18.125" style="2" customWidth="1"/>
    <col min="5" max="5" width="18.25390625" style="2" customWidth="1"/>
    <col min="6" max="6" width="18.00390625" style="2" customWidth="1"/>
    <col min="7" max="10" width="13.125" style="2" customWidth="1"/>
    <col min="11" max="11" width="14.875" style="1" customWidth="1"/>
    <col min="12" max="12" width="4.75390625" style="2" customWidth="1"/>
    <col min="13" max="16384" width="8.625" style="2" customWidth="1"/>
  </cols>
  <sheetData>
    <row r="1" spans="2:7" ht="24">
      <c r="B1" s="3" t="s">
        <v>45</v>
      </c>
      <c r="F1" s="2" t="s">
        <v>108</v>
      </c>
      <c r="G1" s="21"/>
    </row>
    <row r="2" spans="1:11" ht="21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22" t="s">
        <v>106</v>
      </c>
    </row>
    <row r="3" spans="1:11" ht="15.75" customHeight="1">
      <c r="A3" s="6"/>
      <c r="B3" s="27" t="s">
        <v>0</v>
      </c>
      <c r="C3" s="6"/>
      <c r="D3" s="29" t="s">
        <v>96</v>
      </c>
      <c r="E3" s="29" t="s">
        <v>97</v>
      </c>
      <c r="F3" s="29" t="s">
        <v>98</v>
      </c>
      <c r="G3" s="25" t="s">
        <v>101</v>
      </c>
      <c r="H3" s="26"/>
      <c r="I3" s="25" t="s">
        <v>102</v>
      </c>
      <c r="J3" s="26"/>
      <c r="K3" s="23" t="s">
        <v>99</v>
      </c>
    </row>
    <row r="4" spans="1:11" ht="31.5" customHeight="1">
      <c r="A4" s="7"/>
      <c r="B4" s="28"/>
      <c r="C4" s="8"/>
      <c r="D4" s="30"/>
      <c r="E4" s="30"/>
      <c r="F4" s="30"/>
      <c r="G4" s="9" t="s">
        <v>1</v>
      </c>
      <c r="H4" s="9" t="s">
        <v>2</v>
      </c>
      <c r="I4" s="9" t="s">
        <v>1</v>
      </c>
      <c r="J4" s="9" t="s">
        <v>2</v>
      </c>
      <c r="K4" s="24"/>
    </row>
    <row r="5" spans="2:11" ht="31.5" customHeight="1">
      <c r="B5" s="17" t="s">
        <v>46</v>
      </c>
      <c r="C5" s="16"/>
      <c r="D5" s="12">
        <v>5816</v>
      </c>
      <c r="E5" s="2">
        <v>4710</v>
      </c>
      <c r="F5" s="14">
        <f aca="true" t="shared" si="0" ref="F5:F15">E5-D5</f>
        <v>-1106</v>
      </c>
      <c r="G5" s="2">
        <v>404</v>
      </c>
      <c r="H5" s="2">
        <f>1491+19</f>
        <v>1510</v>
      </c>
      <c r="I5" s="2">
        <v>383</v>
      </c>
      <c r="J5" s="2">
        <f>1241+18</f>
        <v>1259</v>
      </c>
      <c r="K5" s="1">
        <f aca="true" t="shared" si="1" ref="K5:K52">E5/D5*100</f>
        <v>80.98349381017881</v>
      </c>
    </row>
    <row r="6" spans="2:11" ht="15.75" customHeight="1">
      <c r="B6" s="17" t="s">
        <v>47</v>
      </c>
      <c r="C6" s="16"/>
      <c r="D6" s="12">
        <v>11571</v>
      </c>
      <c r="E6" s="2">
        <v>12049</v>
      </c>
      <c r="F6" s="14">
        <f t="shared" si="0"/>
        <v>478</v>
      </c>
      <c r="G6" s="2">
        <f>1893+12</f>
        <v>1905</v>
      </c>
      <c r="H6" s="2">
        <f>1398+29</f>
        <v>1427</v>
      </c>
      <c r="I6" s="2">
        <f>1579+12</f>
        <v>1591</v>
      </c>
      <c r="J6" s="2">
        <f>1151+28</f>
        <v>1179</v>
      </c>
      <c r="K6" s="1">
        <f t="shared" si="1"/>
        <v>104.13101719816784</v>
      </c>
    </row>
    <row r="7" spans="2:11" ht="15.75" customHeight="1">
      <c r="B7" s="16" t="s">
        <v>48</v>
      </c>
      <c r="C7" s="16"/>
      <c r="D7" s="12">
        <v>4795</v>
      </c>
      <c r="E7" s="2">
        <v>4257</v>
      </c>
      <c r="F7" s="14">
        <f t="shared" si="0"/>
        <v>-538</v>
      </c>
      <c r="G7" s="2">
        <f>288+4</f>
        <v>292</v>
      </c>
      <c r="H7" s="2">
        <f>791+39</f>
        <v>830</v>
      </c>
      <c r="I7" s="2">
        <f>282+4</f>
        <v>286</v>
      </c>
      <c r="J7" s="2">
        <f>546+39</f>
        <v>585</v>
      </c>
      <c r="K7" s="1">
        <f t="shared" si="1"/>
        <v>88.77997914494264</v>
      </c>
    </row>
    <row r="8" spans="2:11" ht="15.75" customHeight="1">
      <c r="B8" s="16" t="s">
        <v>49</v>
      </c>
      <c r="C8" s="16"/>
      <c r="D8" s="12">
        <v>8270</v>
      </c>
      <c r="E8" s="2">
        <v>7360</v>
      </c>
      <c r="F8" s="14">
        <f t="shared" si="0"/>
        <v>-910</v>
      </c>
      <c r="G8" s="2">
        <f>506+2</f>
        <v>508</v>
      </c>
      <c r="H8" s="2">
        <f>1190+228</f>
        <v>1418</v>
      </c>
      <c r="I8" s="2">
        <f>493+2</f>
        <v>495</v>
      </c>
      <c r="J8" s="2">
        <f>859+227</f>
        <v>1086</v>
      </c>
      <c r="K8" s="1">
        <f t="shared" si="1"/>
        <v>88.99637243047158</v>
      </c>
    </row>
    <row r="9" spans="2:11" ht="15.75" customHeight="1">
      <c r="B9" s="16" t="s">
        <v>50</v>
      </c>
      <c r="C9" s="16"/>
      <c r="D9" s="12">
        <v>6872</v>
      </c>
      <c r="E9" s="2">
        <v>7241</v>
      </c>
      <c r="F9" s="14">
        <f t="shared" si="0"/>
        <v>369</v>
      </c>
      <c r="G9" s="2">
        <f>1351+7</f>
        <v>1358</v>
      </c>
      <c r="H9" s="2">
        <f>769+220</f>
        <v>989</v>
      </c>
      <c r="I9" s="2">
        <f>829+6</f>
        <v>835</v>
      </c>
      <c r="J9" s="2">
        <f>688+220</f>
        <v>908</v>
      </c>
      <c r="K9" s="1">
        <f t="shared" si="1"/>
        <v>105.36961583236322</v>
      </c>
    </row>
    <row r="10" spans="2:11" ht="31.5" customHeight="1">
      <c r="B10" s="16" t="s">
        <v>51</v>
      </c>
      <c r="C10" s="16"/>
      <c r="D10" s="12">
        <v>6408</v>
      </c>
      <c r="E10" s="2">
        <v>6334</v>
      </c>
      <c r="F10" s="14">
        <f t="shared" si="0"/>
        <v>-74</v>
      </c>
      <c r="G10" s="2">
        <f>1023+3</f>
        <v>1026</v>
      </c>
      <c r="H10" s="2">
        <f>970+130</f>
        <v>1100</v>
      </c>
      <c r="I10" s="2">
        <f>678+3</f>
        <v>681</v>
      </c>
      <c r="J10" s="2">
        <f>805+130</f>
        <v>935</v>
      </c>
      <c r="K10" s="1">
        <f t="shared" si="1"/>
        <v>98.84519350811486</v>
      </c>
    </row>
    <row r="11" spans="2:11" ht="15.75" customHeight="1">
      <c r="B11" s="16" t="s">
        <v>52</v>
      </c>
      <c r="C11" s="16"/>
      <c r="D11" s="12">
        <v>4360</v>
      </c>
      <c r="E11" s="2">
        <v>3838</v>
      </c>
      <c r="F11" s="14">
        <f t="shared" si="0"/>
        <v>-522</v>
      </c>
      <c r="G11" s="2">
        <v>321</v>
      </c>
      <c r="H11" s="2">
        <f>822+21</f>
        <v>843</v>
      </c>
      <c r="I11" s="2">
        <v>314</v>
      </c>
      <c r="J11" s="2">
        <f>632+18</f>
        <v>650</v>
      </c>
      <c r="K11" s="1">
        <f t="shared" si="1"/>
        <v>88.02752293577981</v>
      </c>
    </row>
    <row r="12" spans="2:11" ht="15.75" customHeight="1">
      <c r="B12" s="16" t="s">
        <v>53</v>
      </c>
      <c r="C12" s="16"/>
      <c r="D12" s="12">
        <v>8756</v>
      </c>
      <c r="E12" s="2">
        <v>8267</v>
      </c>
      <c r="F12" s="14">
        <f t="shared" si="0"/>
        <v>-489</v>
      </c>
      <c r="G12" s="2">
        <f>894+3</f>
        <v>897</v>
      </c>
      <c r="H12" s="2">
        <f>1325+61</f>
        <v>1386</v>
      </c>
      <c r="I12" s="2">
        <f>682+3</f>
        <v>685</v>
      </c>
      <c r="J12" s="2">
        <f>1121+61</f>
        <v>1182</v>
      </c>
      <c r="K12" s="1">
        <f t="shared" si="1"/>
        <v>94.41525810872544</v>
      </c>
    </row>
    <row r="13" spans="2:11" ht="15.75" customHeight="1">
      <c r="B13" s="16" t="s">
        <v>54</v>
      </c>
      <c r="C13" s="16"/>
      <c r="D13" s="12">
        <v>9209</v>
      </c>
      <c r="E13" s="2">
        <v>8746</v>
      </c>
      <c r="F13" s="14">
        <f t="shared" si="0"/>
        <v>-463</v>
      </c>
      <c r="G13" s="2">
        <f>1103+2</f>
        <v>1105</v>
      </c>
      <c r="H13" s="2">
        <f>1540+28</f>
        <v>1568</v>
      </c>
      <c r="I13" s="2">
        <f>1099+2</f>
        <v>1101</v>
      </c>
      <c r="J13" s="2">
        <f>1149+28</f>
        <v>1177</v>
      </c>
      <c r="K13" s="1">
        <f t="shared" si="1"/>
        <v>94.97230969703551</v>
      </c>
    </row>
    <row r="14" spans="2:11" ht="15.75" customHeight="1">
      <c r="B14" s="16" t="s">
        <v>55</v>
      </c>
      <c r="C14" s="16"/>
      <c r="D14" s="12">
        <v>5019</v>
      </c>
      <c r="E14" s="2">
        <v>4369</v>
      </c>
      <c r="F14" s="14">
        <f t="shared" si="0"/>
        <v>-650</v>
      </c>
      <c r="G14" s="2">
        <f>493+4</f>
        <v>497</v>
      </c>
      <c r="H14" s="2">
        <f>1130+17</f>
        <v>1147</v>
      </c>
      <c r="I14" s="2">
        <f>490+4</f>
        <v>494</v>
      </c>
      <c r="J14" s="2">
        <f>896+17</f>
        <v>913</v>
      </c>
      <c r="K14" s="1">
        <f t="shared" si="1"/>
        <v>87.04921299063558</v>
      </c>
    </row>
    <row r="15" spans="2:11" ht="31.5" customHeight="1">
      <c r="B15" s="16" t="s">
        <v>56</v>
      </c>
      <c r="C15" s="16"/>
      <c r="D15" s="12">
        <v>8149</v>
      </c>
      <c r="E15" s="2">
        <v>7156</v>
      </c>
      <c r="F15" s="14">
        <f t="shared" si="0"/>
        <v>-993</v>
      </c>
      <c r="G15" s="2">
        <f>948+3</f>
        <v>951</v>
      </c>
      <c r="H15" s="2">
        <f>1925+19</f>
        <v>1944</v>
      </c>
      <c r="I15" s="2">
        <f>947+3</f>
        <v>950</v>
      </c>
      <c r="J15" s="2">
        <f>1572+19</f>
        <v>1591</v>
      </c>
      <c r="K15" s="1">
        <f t="shared" si="1"/>
        <v>87.81445576144313</v>
      </c>
    </row>
    <row r="16" spans="2:11" ht="47.25" customHeight="1">
      <c r="B16" s="10" t="s">
        <v>57</v>
      </c>
      <c r="C16" s="10"/>
      <c r="D16" s="12">
        <f aca="true" t="shared" si="2" ref="D16:J16">SUM(D17:D29)</f>
        <v>74629</v>
      </c>
      <c r="E16" s="14">
        <f t="shared" si="2"/>
        <v>69556</v>
      </c>
      <c r="F16" s="14">
        <f t="shared" si="2"/>
        <v>-5073</v>
      </c>
      <c r="G16" s="14">
        <f t="shared" si="2"/>
        <v>9676</v>
      </c>
      <c r="H16" s="14">
        <f t="shared" si="2"/>
        <v>14749</v>
      </c>
      <c r="I16" s="14">
        <f t="shared" si="2"/>
        <v>8364</v>
      </c>
      <c r="J16" s="14">
        <f t="shared" si="2"/>
        <v>12364</v>
      </c>
      <c r="K16" s="1">
        <f t="shared" si="1"/>
        <v>93.20237441209181</v>
      </c>
    </row>
    <row r="17" spans="2:11" ht="31.5" customHeight="1">
      <c r="B17" s="16" t="s">
        <v>58</v>
      </c>
      <c r="C17" s="16"/>
      <c r="D17" s="12">
        <v>1785</v>
      </c>
      <c r="E17" s="2">
        <v>1780</v>
      </c>
      <c r="F17" s="14">
        <f aca="true" t="shared" si="3" ref="F17:F29">E17-D17</f>
        <v>-5</v>
      </c>
      <c r="G17" s="2">
        <f>14+2</f>
        <v>16</v>
      </c>
      <c r="H17" s="2">
        <f>19+2</f>
        <v>21</v>
      </c>
      <c r="I17" s="2">
        <f>14+2</f>
        <v>16</v>
      </c>
      <c r="J17" s="2">
        <f>3+2</f>
        <v>5</v>
      </c>
      <c r="K17" s="1">
        <f t="shared" si="1"/>
        <v>99.71988795518207</v>
      </c>
    </row>
    <row r="18" spans="2:11" ht="15.75" customHeight="1">
      <c r="B18" s="16" t="s">
        <v>59</v>
      </c>
      <c r="C18" s="16"/>
      <c r="D18" s="12">
        <v>7934</v>
      </c>
      <c r="E18" s="2">
        <v>7196</v>
      </c>
      <c r="F18" s="14">
        <f t="shared" si="3"/>
        <v>-738</v>
      </c>
      <c r="G18" s="2">
        <f>203+10</f>
        <v>213</v>
      </c>
      <c r="H18" s="2">
        <f>664+287</f>
        <v>951</v>
      </c>
      <c r="I18" s="2">
        <f>202+10</f>
        <v>212</v>
      </c>
      <c r="J18" s="2">
        <f>359+286</f>
        <v>645</v>
      </c>
      <c r="K18" s="1">
        <f t="shared" si="1"/>
        <v>90.69826065036551</v>
      </c>
    </row>
    <row r="19" spans="2:11" ht="15.75" customHeight="1">
      <c r="B19" s="16" t="s">
        <v>60</v>
      </c>
      <c r="C19" s="16"/>
      <c r="D19" s="12">
        <v>3764</v>
      </c>
      <c r="E19" s="2">
        <v>3744</v>
      </c>
      <c r="F19" s="14">
        <f t="shared" si="3"/>
        <v>-20</v>
      </c>
      <c r="G19" s="2">
        <v>15</v>
      </c>
      <c r="H19" s="2">
        <f>5+30</f>
        <v>35</v>
      </c>
      <c r="I19" s="2">
        <v>15</v>
      </c>
      <c r="J19" s="2">
        <f>4+29</f>
        <v>33</v>
      </c>
      <c r="K19" s="1">
        <f t="shared" si="1"/>
        <v>99.46865037194475</v>
      </c>
    </row>
    <row r="20" spans="2:11" ht="15.75" customHeight="1">
      <c r="B20" s="16" t="s">
        <v>61</v>
      </c>
      <c r="C20" s="16"/>
      <c r="D20" s="12">
        <v>4010</v>
      </c>
      <c r="E20" s="2">
        <v>3950</v>
      </c>
      <c r="F20" s="14">
        <f t="shared" si="3"/>
        <v>-60</v>
      </c>
      <c r="G20" s="2">
        <f>14+6</f>
        <v>20</v>
      </c>
      <c r="H20" s="2">
        <f>1+79</f>
        <v>80</v>
      </c>
      <c r="I20" s="2">
        <f>13+6</f>
        <v>19</v>
      </c>
      <c r="J20" s="2">
        <f>1+79</f>
        <v>80</v>
      </c>
      <c r="K20" s="1">
        <f t="shared" si="1"/>
        <v>98.50374064837905</v>
      </c>
    </row>
    <row r="21" spans="2:11" ht="15.75" customHeight="1">
      <c r="B21" s="16" t="s">
        <v>62</v>
      </c>
      <c r="C21" s="16"/>
      <c r="D21" s="12">
        <v>7967</v>
      </c>
      <c r="E21" s="2">
        <v>7854</v>
      </c>
      <c r="F21" s="14">
        <f t="shared" si="3"/>
        <v>-113</v>
      </c>
      <c r="G21" s="2">
        <f>1495+10</f>
        <v>1505</v>
      </c>
      <c r="H21" s="2">
        <f>1580+38</f>
        <v>1618</v>
      </c>
      <c r="I21" s="2">
        <f>1131+10</f>
        <v>1141</v>
      </c>
      <c r="J21" s="2">
        <f>1320+38</f>
        <v>1358</v>
      </c>
      <c r="K21" s="1">
        <f t="shared" si="1"/>
        <v>98.58164930337642</v>
      </c>
    </row>
    <row r="22" spans="2:11" ht="31.5" customHeight="1">
      <c r="B22" s="16" t="s">
        <v>63</v>
      </c>
      <c r="C22" s="16"/>
      <c r="D22" s="12">
        <v>3420</v>
      </c>
      <c r="E22" s="2">
        <v>3066</v>
      </c>
      <c r="F22" s="14">
        <f t="shared" si="3"/>
        <v>-354</v>
      </c>
      <c r="G22" s="2">
        <f>38+183</f>
        <v>221</v>
      </c>
      <c r="H22" s="2">
        <f>87+488</f>
        <v>575</v>
      </c>
      <c r="I22" s="2">
        <f>38+183</f>
        <v>221</v>
      </c>
      <c r="J22" s="2">
        <f>25+419</f>
        <v>444</v>
      </c>
      <c r="K22" s="1">
        <f t="shared" si="1"/>
        <v>89.64912280701755</v>
      </c>
    </row>
    <row r="23" spans="2:11" ht="15.75" customHeight="1">
      <c r="B23" s="16" t="s">
        <v>64</v>
      </c>
      <c r="C23" s="16"/>
      <c r="D23" s="12">
        <v>2868</v>
      </c>
      <c r="E23" s="2">
        <v>2828</v>
      </c>
      <c r="F23" s="14">
        <f t="shared" si="3"/>
        <v>-40</v>
      </c>
      <c r="G23" s="2">
        <f>29+29</f>
        <v>58</v>
      </c>
      <c r="H23" s="2">
        <f>84+14</f>
        <v>98</v>
      </c>
      <c r="I23" s="2">
        <f>29+29</f>
        <v>58</v>
      </c>
      <c r="J23" s="2">
        <f>37+14</f>
        <v>51</v>
      </c>
      <c r="K23" s="1">
        <f t="shared" si="1"/>
        <v>98.60529986052998</v>
      </c>
    </row>
    <row r="24" spans="2:11" ht="15.75" customHeight="1">
      <c r="B24" s="16" t="s">
        <v>65</v>
      </c>
      <c r="C24" s="16"/>
      <c r="D24" s="12">
        <v>6317</v>
      </c>
      <c r="E24" s="2">
        <v>6452</v>
      </c>
      <c r="F24" s="14">
        <f t="shared" si="3"/>
        <v>135</v>
      </c>
      <c r="G24" s="2">
        <f>1659+12</f>
        <v>1671</v>
      </c>
      <c r="H24" s="2">
        <f>1505+31</f>
        <v>1536</v>
      </c>
      <c r="I24" s="2">
        <f>1633+12</f>
        <v>1645</v>
      </c>
      <c r="J24" s="2">
        <f>1247+29</f>
        <v>1276</v>
      </c>
      <c r="K24" s="1">
        <f t="shared" si="1"/>
        <v>102.1370903910084</v>
      </c>
    </row>
    <row r="25" spans="2:11" ht="15.75" customHeight="1">
      <c r="B25" s="16" t="s">
        <v>66</v>
      </c>
      <c r="C25" s="16"/>
      <c r="D25" s="12">
        <v>5548</v>
      </c>
      <c r="E25" s="2">
        <v>5282</v>
      </c>
      <c r="F25" s="14">
        <f t="shared" si="3"/>
        <v>-266</v>
      </c>
      <c r="G25" s="2">
        <f>1012+8</f>
        <v>1020</v>
      </c>
      <c r="H25" s="2">
        <f>1267+19</f>
        <v>1286</v>
      </c>
      <c r="I25" s="2">
        <f>614+8</f>
        <v>622</v>
      </c>
      <c r="J25" s="2">
        <f>1062+18</f>
        <v>1080</v>
      </c>
      <c r="K25" s="1">
        <f t="shared" si="1"/>
        <v>95.2054794520548</v>
      </c>
    </row>
    <row r="26" spans="2:11" ht="15.75" customHeight="1">
      <c r="B26" s="16" t="s">
        <v>67</v>
      </c>
      <c r="C26" s="16"/>
      <c r="D26" s="12">
        <v>7291</v>
      </c>
      <c r="E26" s="2">
        <v>6419</v>
      </c>
      <c r="F26" s="14">
        <f t="shared" si="3"/>
        <v>-872</v>
      </c>
      <c r="G26" s="2">
        <f>915+8</f>
        <v>923</v>
      </c>
      <c r="H26" s="2">
        <f>1766+29</f>
        <v>1795</v>
      </c>
      <c r="I26" s="2">
        <f>912+8</f>
        <v>920</v>
      </c>
      <c r="J26" s="2">
        <f>1420+27</f>
        <v>1447</v>
      </c>
      <c r="K26" s="1">
        <f t="shared" si="1"/>
        <v>88.04004937594294</v>
      </c>
    </row>
    <row r="27" spans="2:11" ht="31.5" customHeight="1">
      <c r="B27" s="16" t="s">
        <v>68</v>
      </c>
      <c r="C27" s="16"/>
      <c r="D27" s="12">
        <v>13335</v>
      </c>
      <c r="E27" s="2">
        <v>12326</v>
      </c>
      <c r="F27" s="14">
        <f t="shared" si="3"/>
        <v>-1009</v>
      </c>
      <c r="G27" s="2">
        <f>2641+29</f>
        <v>2670</v>
      </c>
      <c r="H27" s="2">
        <f>3612+67</f>
        <v>3679</v>
      </c>
      <c r="I27" s="2">
        <f>2130+29</f>
        <v>2159</v>
      </c>
      <c r="J27" s="2">
        <f>3274+59</f>
        <v>3333</v>
      </c>
      <c r="K27" s="1">
        <f t="shared" si="1"/>
        <v>92.43344581927259</v>
      </c>
    </row>
    <row r="28" spans="2:11" ht="15.75" customHeight="1">
      <c r="B28" s="16" t="s">
        <v>69</v>
      </c>
      <c r="C28" s="16"/>
      <c r="D28" s="12">
        <v>6147</v>
      </c>
      <c r="E28" s="2">
        <v>5213</v>
      </c>
      <c r="F28" s="14">
        <f t="shared" si="3"/>
        <v>-934</v>
      </c>
      <c r="G28" s="2">
        <f>995+3</f>
        <v>998</v>
      </c>
      <c r="H28" s="2">
        <f>1905+27</f>
        <v>1932</v>
      </c>
      <c r="I28" s="2">
        <f>988+3</f>
        <v>991</v>
      </c>
      <c r="J28" s="2">
        <f>1611+27</f>
        <v>1638</v>
      </c>
      <c r="K28" s="1">
        <f t="shared" si="1"/>
        <v>84.80559622580121</v>
      </c>
    </row>
    <row r="29" spans="2:11" ht="15.75" customHeight="1">
      <c r="B29" s="16" t="s">
        <v>70</v>
      </c>
      <c r="C29" s="16"/>
      <c r="D29" s="12">
        <v>4243</v>
      </c>
      <c r="E29" s="2">
        <v>3446</v>
      </c>
      <c r="F29" s="14">
        <f t="shared" si="3"/>
        <v>-797</v>
      </c>
      <c r="G29" s="2">
        <f>341+5</f>
        <v>346</v>
      </c>
      <c r="H29" s="2">
        <f>1126+17</f>
        <v>1143</v>
      </c>
      <c r="I29" s="2">
        <f>340+5</f>
        <v>345</v>
      </c>
      <c r="J29" s="2">
        <f>957+17</f>
        <v>974</v>
      </c>
      <c r="K29" s="1">
        <f t="shared" si="1"/>
        <v>81.21612066933773</v>
      </c>
    </row>
    <row r="30" spans="2:11" ht="47.25" customHeight="1">
      <c r="B30" s="10" t="s">
        <v>71</v>
      </c>
      <c r="C30" s="10"/>
      <c r="D30" s="12">
        <f aca="true" t="shared" si="4" ref="D30:J30">SUM(D31:D40)</f>
        <v>48430</v>
      </c>
      <c r="E30" s="14">
        <f t="shared" si="4"/>
        <v>47179</v>
      </c>
      <c r="F30" s="14">
        <f t="shared" si="4"/>
        <v>-1251</v>
      </c>
      <c r="G30" s="14">
        <f t="shared" si="4"/>
        <v>3998</v>
      </c>
      <c r="H30" s="14">
        <f t="shared" si="4"/>
        <v>5249</v>
      </c>
      <c r="I30" s="14">
        <f t="shared" si="4"/>
        <v>3209</v>
      </c>
      <c r="J30" s="14">
        <f t="shared" si="4"/>
        <v>4243</v>
      </c>
      <c r="K30" s="1">
        <f t="shared" si="1"/>
        <v>97.4168903572166</v>
      </c>
    </row>
    <row r="31" spans="2:11" ht="31.5" customHeight="1">
      <c r="B31" s="16" t="s">
        <v>72</v>
      </c>
      <c r="C31" s="16"/>
      <c r="D31" s="12">
        <v>6399</v>
      </c>
      <c r="E31" s="2">
        <v>5977</v>
      </c>
      <c r="F31" s="14">
        <f aca="true" t="shared" si="5" ref="F31:F40">E31-D31</f>
        <v>-422</v>
      </c>
      <c r="G31" s="2">
        <f>185+6</f>
        <v>191</v>
      </c>
      <c r="H31" s="2">
        <f>527+86</f>
        <v>613</v>
      </c>
      <c r="I31" s="2">
        <f>161+5</f>
        <v>166</v>
      </c>
      <c r="J31" s="2">
        <f>442+86</f>
        <v>528</v>
      </c>
      <c r="K31" s="1">
        <f t="shared" si="1"/>
        <v>93.40521956555712</v>
      </c>
    </row>
    <row r="32" spans="2:11" ht="15.75" customHeight="1">
      <c r="B32" s="16" t="s">
        <v>73</v>
      </c>
      <c r="C32" s="16"/>
      <c r="D32" s="12">
        <v>2197</v>
      </c>
      <c r="E32" s="2">
        <v>2181</v>
      </c>
      <c r="F32" s="14">
        <f t="shared" si="5"/>
        <v>-16</v>
      </c>
      <c r="G32" s="2">
        <f>146+2</f>
        <v>148</v>
      </c>
      <c r="H32" s="2">
        <f>158+6</f>
        <v>164</v>
      </c>
      <c r="I32" s="2">
        <f>144+2</f>
        <v>146</v>
      </c>
      <c r="J32" s="2">
        <f>104+6</f>
        <v>110</v>
      </c>
      <c r="K32" s="1">
        <f t="shared" si="1"/>
        <v>99.27173418297679</v>
      </c>
    </row>
    <row r="33" spans="2:11" ht="15.75" customHeight="1">
      <c r="B33" s="16" t="s">
        <v>74</v>
      </c>
      <c r="C33" s="16"/>
      <c r="D33" s="12">
        <v>4010</v>
      </c>
      <c r="E33" s="2">
        <v>3683</v>
      </c>
      <c r="F33" s="14">
        <f t="shared" si="5"/>
        <v>-327</v>
      </c>
      <c r="G33" s="2">
        <f>143+6</f>
        <v>149</v>
      </c>
      <c r="H33" s="2">
        <f>460+16</f>
        <v>476</v>
      </c>
      <c r="I33" s="2">
        <f>141+6</f>
        <v>147</v>
      </c>
      <c r="J33" s="2">
        <f>325+16</f>
        <v>341</v>
      </c>
      <c r="K33" s="1">
        <f t="shared" si="1"/>
        <v>91.84538653366585</v>
      </c>
    </row>
    <row r="34" spans="2:11" ht="15.75" customHeight="1">
      <c r="B34" s="16" t="s">
        <v>75</v>
      </c>
      <c r="C34" s="16"/>
      <c r="D34" s="12">
        <v>4310</v>
      </c>
      <c r="E34" s="2">
        <v>4065</v>
      </c>
      <c r="F34" s="14">
        <f t="shared" si="5"/>
        <v>-245</v>
      </c>
      <c r="G34" s="2">
        <f>383+2</f>
        <v>385</v>
      </c>
      <c r="H34" s="2">
        <f>623+7</f>
        <v>630</v>
      </c>
      <c r="I34" s="2">
        <f>253+2</f>
        <v>255</v>
      </c>
      <c r="J34" s="2">
        <f>522+7</f>
        <v>529</v>
      </c>
      <c r="K34" s="1">
        <f t="shared" si="1"/>
        <v>94.3155452436195</v>
      </c>
    </row>
    <row r="35" spans="2:11" ht="15.75" customHeight="1">
      <c r="B35" s="16" t="s">
        <v>76</v>
      </c>
      <c r="C35" s="16"/>
      <c r="D35" s="12">
        <v>3955</v>
      </c>
      <c r="E35" s="2">
        <v>3975</v>
      </c>
      <c r="F35" s="14">
        <f t="shared" si="5"/>
        <v>20</v>
      </c>
      <c r="G35" s="2">
        <v>54</v>
      </c>
      <c r="H35" s="2">
        <f>24+10</f>
        <v>34</v>
      </c>
      <c r="I35" s="2">
        <v>54</v>
      </c>
      <c r="J35" s="2">
        <f>24+10</f>
        <v>34</v>
      </c>
      <c r="K35" s="1">
        <f t="shared" si="1"/>
        <v>100.50568900126422</v>
      </c>
    </row>
    <row r="36" spans="2:11" ht="31.5" customHeight="1">
      <c r="B36" s="16" t="s">
        <v>77</v>
      </c>
      <c r="C36" s="16"/>
      <c r="D36" s="12">
        <v>4299</v>
      </c>
      <c r="E36" s="2">
        <v>4158</v>
      </c>
      <c r="F36" s="14">
        <f t="shared" si="5"/>
        <v>-141</v>
      </c>
      <c r="G36" s="2">
        <f>199+3</f>
        <v>202</v>
      </c>
      <c r="H36" s="2">
        <f>320+23</f>
        <v>343</v>
      </c>
      <c r="I36" s="2">
        <f>156+3</f>
        <v>159</v>
      </c>
      <c r="J36" s="2">
        <f>298+23</f>
        <v>321</v>
      </c>
      <c r="K36" s="1">
        <f t="shared" si="1"/>
        <v>96.7201674808095</v>
      </c>
    </row>
    <row r="37" spans="2:11" ht="15.75" customHeight="1">
      <c r="B37" s="16" t="s">
        <v>78</v>
      </c>
      <c r="C37" s="16"/>
      <c r="D37" s="12">
        <v>7368</v>
      </c>
      <c r="E37" s="2">
        <v>7150</v>
      </c>
      <c r="F37" s="14">
        <f t="shared" si="5"/>
        <v>-218</v>
      </c>
      <c r="G37" s="2">
        <f>862+11</f>
        <v>873</v>
      </c>
      <c r="H37" s="2">
        <f>919+172</f>
        <v>1091</v>
      </c>
      <c r="I37" s="2">
        <f>862+11</f>
        <v>873</v>
      </c>
      <c r="J37" s="2">
        <f>634+171</f>
        <v>805</v>
      </c>
      <c r="K37" s="1">
        <f t="shared" si="1"/>
        <v>97.04125950054289</v>
      </c>
    </row>
    <row r="38" spans="2:11" ht="15.75" customHeight="1">
      <c r="B38" s="16" t="s">
        <v>79</v>
      </c>
      <c r="C38" s="16"/>
      <c r="D38" s="12">
        <v>4996</v>
      </c>
      <c r="E38" s="2">
        <v>5400</v>
      </c>
      <c r="F38" s="14">
        <f t="shared" si="5"/>
        <v>404</v>
      </c>
      <c r="G38" s="2">
        <f>1085+3</f>
        <v>1088</v>
      </c>
      <c r="H38" s="2">
        <f>613+71</f>
        <v>684</v>
      </c>
      <c r="I38" s="2">
        <f>504+3</f>
        <v>507</v>
      </c>
      <c r="J38" s="2">
        <f>613+71</f>
        <v>684</v>
      </c>
      <c r="K38" s="1">
        <f t="shared" si="1"/>
        <v>108.08646917534028</v>
      </c>
    </row>
    <row r="39" spans="2:11" ht="15.75" customHeight="1">
      <c r="B39" s="16" t="s">
        <v>80</v>
      </c>
      <c r="C39" s="16"/>
      <c r="D39" s="12">
        <v>7564</v>
      </c>
      <c r="E39" s="2">
        <v>7104</v>
      </c>
      <c r="F39" s="14">
        <f t="shared" si="5"/>
        <v>-460</v>
      </c>
      <c r="G39" s="2">
        <f>528+5</f>
        <v>533</v>
      </c>
      <c r="H39" s="2">
        <f>929+64</f>
        <v>993</v>
      </c>
      <c r="I39" s="2">
        <f>527+4</f>
        <v>531</v>
      </c>
      <c r="J39" s="2">
        <f>650+64</f>
        <v>714</v>
      </c>
      <c r="K39" s="1">
        <f t="shared" si="1"/>
        <v>93.91856160761502</v>
      </c>
    </row>
    <row r="40" spans="2:11" ht="15.75" customHeight="1">
      <c r="B40" s="16" t="s">
        <v>81</v>
      </c>
      <c r="C40" s="16"/>
      <c r="D40" s="12">
        <v>3332</v>
      </c>
      <c r="E40" s="2">
        <v>3486</v>
      </c>
      <c r="F40" s="14">
        <f t="shared" si="5"/>
        <v>154</v>
      </c>
      <c r="G40" s="2">
        <f>373+2</f>
        <v>375</v>
      </c>
      <c r="H40" s="2">
        <f>204+17</f>
        <v>221</v>
      </c>
      <c r="I40" s="2">
        <f>369+2</f>
        <v>371</v>
      </c>
      <c r="J40" s="2">
        <f>160+17</f>
        <v>177</v>
      </c>
      <c r="K40" s="1">
        <f t="shared" si="1"/>
        <v>104.6218487394958</v>
      </c>
    </row>
    <row r="41" spans="2:11" ht="47.25" customHeight="1">
      <c r="B41" s="10" t="s">
        <v>82</v>
      </c>
      <c r="C41" s="10"/>
      <c r="D41" s="12">
        <f aca="true" t="shared" si="6" ref="D41:J41">SUM(D42:D45)</f>
        <v>33538</v>
      </c>
      <c r="E41" s="14">
        <f t="shared" si="6"/>
        <v>33505</v>
      </c>
      <c r="F41" s="14">
        <f t="shared" si="6"/>
        <v>-33</v>
      </c>
      <c r="G41" s="14">
        <f t="shared" si="6"/>
        <v>4337</v>
      </c>
      <c r="H41" s="14">
        <f t="shared" si="6"/>
        <v>4370</v>
      </c>
      <c r="I41" s="14">
        <f t="shared" si="6"/>
        <v>3439</v>
      </c>
      <c r="J41" s="14">
        <f t="shared" si="6"/>
        <v>3450</v>
      </c>
      <c r="K41" s="1">
        <f t="shared" si="1"/>
        <v>99.90160415051584</v>
      </c>
    </row>
    <row r="42" spans="2:11" ht="31.5" customHeight="1">
      <c r="B42" s="16" t="s">
        <v>83</v>
      </c>
      <c r="C42" s="16"/>
      <c r="D42" s="12">
        <v>12600</v>
      </c>
      <c r="E42" s="2">
        <v>14172</v>
      </c>
      <c r="F42" s="14">
        <f>E42-D42</f>
        <v>1572</v>
      </c>
      <c r="G42" s="2">
        <f>2380+41</f>
        <v>2421</v>
      </c>
      <c r="H42" s="2">
        <f>813+36</f>
        <v>849</v>
      </c>
      <c r="I42" s="2">
        <f>1808+41</f>
        <v>1849</v>
      </c>
      <c r="J42" s="2">
        <f>679+29</f>
        <v>708</v>
      </c>
      <c r="K42" s="1">
        <f t="shared" si="1"/>
        <v>112.47619047619048</v>
      </c>
    </row>
    <row r="43" spans="2:11" ht="15.75" customHeight="1">
      <c r="B43" s="16" t="s">
        <v>84</v>
      </c>
      <c r="C43" s="16"/>
      <c r="D43" s="12">
        <v>6914</v>
      </c>
      <c r="E43" s="2">
        <v>6702</v>
      </c>
      <c r="F43" s="14">
        <f>E43-D43</f>
        <v>-212</v>
      </c>
      <c r="G43" s="2">
        <f>753+10</f>
        <v>763</v>
      </c>
      <c r="H43" s="2">
        <f>945+30</f>
        <v>975</v>
      </c>
      <c r="I43" s="2">
        <f>430+10</f>
        <v>440</v>
      </c>
      <c r="J43" s="2">
        <f>798+30</f>
        <v>828</v>
      </c>
      <c r="K43" s="1">
        <f t="shared" si="1"/>
        <v>96.93375759328899</v>
      </c>
    </row>
    <row r="44" spans="2:11" ht="15.75" customHeight="1">
      <c r="B44" s="16" t="s">
        <v>85</v>
      </c>
      <c r="C44" s="16"/>
      <c r="D44" s="12">
        <v>9272</v>
      </c>
      <c r="E44" s="2">
        <v>8470</v>
      </c>
      <c r="F44" s="14">
        <f>E44-D44</f>
        <v>-802</v>
      </c>
      <c r="G44" s="2">
        <f>756+15</f>
        <v>771</v>
      </c>
      <c r="H44" s="2">
        <f>1534+39</f>
        <v>1573</v>
      </c>
      <c r="I44" s="2">
        <f>756+15</f>
        <v>771</v>
      </c>
      <c r="J44" s="2">
        <f>1140+28</f>
        <v>1168</v>
      </c>
      <c r="K44" s="1">
        <f t="shared" si="1"/>
        <v>91.35030198446937</v>
      </c>
    </row>
    <row r="45" spans="2:11" ht="15.75" customHeight="1">
      <c r="B45" s="16" t="s">
        <v>86</v>
      </c>
      <c r="C45" s="16"/>
      <c r="D45" s="12">
        <v>4752</v>
      </c>
      <c r="E45" s="2">
        <v>4161</v>
      </c>
      <c r="F45" s="14">
        <f>E45-D45</f>
        <v>-591</v>
      </c>
      <c r="G45" s="2">
        <f>371+11</f>
        <v>382</v>
      </c>
      <c r="H45" s="2">
        <f>959+14</f>
        <v>973</v>
      </c>
      <c r="I45" s="2">
        <f>368+11</f>
        <v>379</v>
      </c>
      <c r="J45" s="2">
        <f>732+14</f>
        <v>746</v>
      </c>
      <c r="K45" s="1">
        <f t="shared" si="1"/>
        <v>87.56313131313132</v>
      </c>
    </row>
    <row r="46" spans="2:11" ht="47.25" customHeight="1">
      <c r="B46" s="10" t="s">
        <v>87</v>
      </c>
      <c r="C46" s="10"/>
      <c r="D46" s="12">
        <f aca="true" t="shared" si="7" ref="D46:I46">SUM(D47:D52)</f>
        <v>41230</v>
      </c>
      <c r="E46" s="14">
        <f t="shared" si="7"/>
        <v>41341</v>
      </c>
      <c r="F46" s="14">
        <f t="shared" si="7"/>
        <v>111</v>
      </c>
      <c r="G46" s="14">
        <f t="shared" si="7"/>
        <v>3018</v>
      </c>
      <c r="H46" s="14">
        <f t="shared" si="7"/>
        <v>2907</v>
      </c>
      <c r="I46" s="14">
        <f t="shared" si="7"/>
        <v>2503</v>
      </c>
      <c r="J46" s="14">
        <f>SUM(J47:J52)</f>
        <v>2392</v>
      </c>
      <c r="K46" s="1">
        <f t="shared" si="1"/>
        <v>100.26922144069852</v>
      </c>
    </row>
    <row r="47" spans="2:11" ht="31.5" customHeight="1">
      <c r="B47" s="16" t="s">
        <v>88</v>
      </c>
      <c r="C47" s="16"/>
      <c r="D47" s="12">
        <v>15485</v>
      </c>
      <c r="E47" s="2">
        <v>16084</v>
      </c>
      <c r="F47" s="14">
        <f aca="true" t="shared" si="8" ref="F47:F52">E47-D47</f>
        <v>599</v>
      </c>
      <c r="G47" s="2">
        <f>1040+37</f>
        <v>1077</v>
      </c>
      <c r="H47" s="2">
        <f>474+4</f>
        <v>478</v>
      </c>
      <c r="I47" s="2">
        <f>772+36</f>
        <v>808</v>
      </c>
      <c r="J47" s="2">
        <f>474+4</f>
        <v>478</v>
      </c>
      <c r="K47" s="1">
        <f t="shared" si="1"/>
        <v>103.8682596060704</v>
      </c>
    </row>
    <row r="48" spans="2:11" ht="15.75" customHeight="1">
      <c r="B48" s="16" t="s">
        <v>89</v>
      </c>
      <c r="C48" s="16"/>
      <c r="D48" s="12">
        <v>8423</v>
      </c>
      <c r="E48" s="2">
        <v>7989</v>
      </c>
      <c r="F48" s="14">
        <f t="shared" si="8"/>
        <v>-434</v>
      </c>
      <c r="G48" s="2">
        <f>656+23</f>
        <v>679</v>
      </c>
      <c r="H48" s="2">
        <f>1112+1</f>
        <v>1113</v>
      </c>
      <c r="I48" s="2">
        <f>656+23</f>
        <v>679</v>
      </c>
      <c r="J48" s="2">
        <f>811+1</f>
        <v>812</v>
      </c>
      <c r="K48" s="1">
        <f t="shared" si="1"/>
        <v>94.84744152914638</v>
      </c>
    </row>
    <row r="49" spans="2:11" ht="15.75" customHeight="1">
      <c r="B49" s="16" t="s">
        <v>90</v>
      </c>
      <c r="C49" s="16"/>
      <c r="D49" s="12">
        <v>4705</v>
      </c>
      <c r="E49" s="2">
        <v>4850</v>
      </c>
      <c r="F49" s="14">
        <f t="shared" si="8"/>
        <v>145</v>
      </c>
      <c r="G49" s="2">
        <f>502+8</f>
        <v>510</v>
      </c>
      <c r="H49" s="2">
        <f>364+1</f>
        <v>365</v>
      </c>
      <c r="I49" s="2">
        <f>347+8</f>
        <v>355</v>
      </c>
      <c r="J49" s="2">
        <f>363+1</f>
        <v>364</v>
      </c>
      <c r="K49" s="1">
        <f t="shared" si="1"/>
        <v>103.08182784272051</v>
      </c>
    </row>
    <row r="50" spans="2:11" ht="15.75" customHeight="1">
      <c r="B50" s="16" t="s">
        <v>91</v>
      </c>
      <c r="C50" s="16"/>
      <c r="D50" s="12">
        <v>2897</v>
      </c>
      <c r="E50" s="2">
        <v>2708</v>
      </c>
      <c r="F50" s="14">
        <f t="shared" si="8"/>
        <v>-189</v>
      </c>
      <c r="G50" s="2">
        <f>198+5</f>
        <v>203</v>
      </c>
      <c r="H50" s="2">
        <f>389+3</f>
        <v>392</v>
      </c>
      <c r="I50" s="2">
        <f>198+5</f>
        <v>203</v>
      </c>
      <c r="J50" s="2">
        <f>268+3</f>
        <v>271</v>
      </c>
      <c r="K50" s="1">
        <f t="shared" si="1"/>
        <v>93.47600966517086</v>
      </c>
    </row>
    <row r="51" spans="2:11" ht="15.75" customHeight="1">
      <c r="B51" s="16" t="s">
        <v>92</v>
      </c>
      <c r="C51" s="16"/>
      <c r="D51" s="12">
        <v>4494</v>
      </c>
      <c r="E51" s="2">
        <v>4255</v>
      </c>
      <c r="F51" s="14">
        <f t="shared" si="8"/>
        <v>-239</v>
      </c>
      <c r="G51" s="2">
        <f>180+4</f>
        <v>184</v>
      </c>
      <c r="H51" s="2">
        <f>421+2</f>
        <v>423</v>
      </c>
      <c r="I51" s="2">
        <f>180+4</f>
        <v>184</v>
      </c>
      <c r="J51" s="2">
        <f>329+2</f>
        <v>331</v>
      </c>
      <c r="K51" s="1">
        <f t="shared" si="1"/>
        <v>94.68179795282599</v>
      </c>
    </row>
    <row r="52" spans="1:11" ht="31.5" customHeight="1" thickBot="1">
      <c r="A52" s="4"/>
      <c r="B52" s="18" t="s">
        <v>93</v>
      </c>
      <c r="C52" s="18"/>
      <c r="D52" s="19">
        <v>5226</v>
      </c>
      <c r="E52" s="4">
        <v>5455</v>
      </c>
      <c r="F52" s="4">
        <f t="shared" si="8"/>
        <v>229</v>
      </c>
      <c r="G52" s="4">
        <f>352+13</f>
        <v>365</v>
      </c>
      <c r="H52" s="4">
        <v>136</v>
      </c>
      <c r="I52" s="4">
        <f>261+13</f>
        <v>274</v>
      </c>
      <c r="J52" s="4">
        <v>136</v>
      </c>
      <c r="K52" s="5">
        <f t="shared" si="1"/>
        <v>104.3819364714887</v>
      </c>
    </row>
    <row r="53" ht="15.75" customHeight="1"/>
    <row r="54" ht="13.5" customHeight="1"/>
    <row r="55" ht="13.5" customHeight="1"/>
  </sheetData>
  <mergeCells count="7">
    <mergeCell ref="G3:H3"/>
    <mergeCell ref="I3:J3"/>
    <mergeCell ref="K3:K4"/>
    <mergeCell ref="B3:B4"/>
    <mergeCell ref="D3:D4"/>
    <mergeCell ref="E3:E4"/>
    <mergeCell ref="F3:F4"/>
  </mergeCells>
  <printOptions/>
  <pageMargins left="0.3937007874015748" right="0.3937007874015748" top="0.3937007874015748" bottom="0" header="0.5118110236220472" footer="0.5118110236220472"/>
  <pageSetup horizontalDpi="400" verticalDpi="400" orientation="portrait" paperSize="9" scale="70" r:id="rId1"/>
  <ignoredErrors>
    <ignoredError sqref="F16:I25 F30:I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2001-10-26T05:44:55Z</cp:lastPrinted>
  <dcterms:modified xsi:type="dcterms:W3CDTF">2002-08-26T06:10:11Z</dcterms:modified>
  <cp:category/>
  <cp:version/>
  <cp:contentType/>
  <cp:contentStatus/>
</cp:coreProperties>
</file>